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448" tabRatio="297"/>
  </bookViews>
  <sheets>
    <sheet name="Nonlevelized-IOU" sheetId="35" r:id="rId1"/>
    <sheet name="Plant Balance" sheetId="9" r:id="rId2"/>
    <sheet name="Plant Balance - ARO" sheetId="38" r:id="rId3"/>
    <sheet name="Accum Depr" sheetId="11" r:id="rId4"/>
    <sheet name="Accum Depr - ARO" sheetId="39" r:id="rId5"/>
    <sheet name="CWIP" sheetId="18" r:id="rId6"/>
    <sheet name="ADIT Projection Summary" sheetId="37" r:id="rId7"/>
    <sheet name="AFUDC on CWIP" sheetId="19" r:id="rId8"/>
    <sheet name="Inv Bal" sheetId="12" r:id="rId9"/>
    <sheet name="Prepay" sheetId="13" r:id="rId10"/>
    <sheet name="O&amp;M" sheetId="21" r:id="rId11"/>
    <sheet name="A&amp;G" sheetId="22" r:id="rId12"/>
    <sheet name="Depreciation" sheetId="14" r:id="rId13"/>
    <sheet name="Other Tax" sheetId="23" r:id="rId14"/>
    <sheet name="Amort Inves Tax Credit" sheetId="24" r:id="rId15"/>
    <sheet name="Acct 561" sheetId="25" r:id="rId16"/>
    <sheet name="Acct 565" sheetId="27" r:id="rId17"/>
    <sheet name="FERC Exp &amp; EPRI" sheetId="28" r:id="rId18"/>
    <sheet name="Labor Ratios" sheetId="15" r:id="rId19"/>
    <sheet name="Pref Stock" sheetId="26" r:id="rId20"/>
    <sheet name="Common Equity" sheetId="16" r:id="rId21"/>
    <sheet name="Acct 216.1" sheetId="29" r:id="rId22"/>
    <sheet name="Cost of Debt" sheetId="17" r:id="rId23"/>
    <sheet name="trans for others" sheetId="2" r:id="rId24"/>
    <sheet name="454 rents" sheetId="3" r:id="rId25"/>
    <sheet name="Divisor" sheetId="20" r:id="rId26"/>
    <sheet name="tax" sheetId="8" r:id="rId27"/>
    <sheet name="footnote k tax" sheetId="33" r:id="rId28"/>
    <sheet name="2015 Attach O True-Up" sheetId="36" r:id="rId29"/>
    <sheet name="short-term interest rate" sheetId="32" r:id="rId30"/>
  </sheets>
  <externalReferences>
    <externalReference r:id="rId31"/>
    <externalReference r:id="rId32"/>
    <externalReference r:id="rId33"/>
    <externalReference r:id="rId34"/>
    <externalReference r:id="rId35"/>
    <externalReference r:id="rId36"/>
  </externalReferences>
  <definedNames>
    <definedName name="__123Graph_A" localSheetId="6" hidden="1">[1]Sheet3!#REF!</definedName>
    <definedName name="__123Graph_A" hidden="1">[1]Sheet3!#REF!</definedName>
    <definedName name="__123Graph_A1991" localSheetId="6" hidden="1">[1]Sheet3!#REF!</definedName>
    <definedName name="__123Graph_A1991" hidden="1">[1]Sheet3!#REF!</definedName>
    <definedName name="__123Graph_A1992" localSheetId="6" hidden="1">[1]Sheet3!#REF!</definedName>
    <definedName name="__123Graph_A1992" hidden="1">[1]Sheet3!#REF!</definedName>
    <definedName name="__123Graph_A1993" localSheetId="6" hidden="1">[1]Sheet3!#REF!</definedName>
    <definedName name="__123Graph_A1993" hidden="1">[1]Sheet3!#REF!</definedName>
    <definedName name="__123Graph_A1994" localSheetId="6" hidden="1">[1]Sheet3!#REF!</definedName>
    <definedName name="__123Graph_A1994" hidden="1">[1]Sheet3!#REF!</definedName>
    <definedName name="__123Graph_A1995" localSheetId="6" hidden="1">[1]Sheet3!#REF!</definedName>
    <definedName name="__123Graph_A1995" hidden="1">[1]Sheet3!#REF!</definedName>
    <definedName name="__123Graph_A1996" localSheetId="6" hidden="1">[1]Sheet3!#REF!</definedName>
    <definedName name="__123Graph_A1996" hidden="1">[1]Sheet3!#REF!</definedName>
    <definedName name="__123Graph_ABAR" localSheetId="6" hidden="1">[1]Sheet3!#REF!</definedName>
    <definedName name="__123Graph_ABAR" hidden="1">[1]Sheet3!#REF!</definedName>
    <definedName name="__123Graph_B" localSheetId="6" hidden="1">[1]Sheet3!#REF!</definedName>
    <definedName name="__123Graph_B" hidden="1">[1]Sheet3!#REF!</definedName>
    <definedName name="__123Graph_B1991" localSheetId="6" hidden="1">[1]Sheet3!#REF!</definedName>
    <definedName name="__123Graph_B1991" hidden="1">[1]Sheet3!#REF!</definedName>
    <definedName name="__123Graph_B1992" localSheetId="6" hidden="1">[1]Sheet3!#REF!</definedName>
    <definedName name="__123Graph_B1992" hidden="1">[1]Sheet3!#REF!</definedName>
    <definedName name="__123Graph_B1993" localSheetId="6" hidden="1">[1]Sheet3!#REF!</definedName>
    <definedName name="__123Graph_B1993" hidden="1">[1]Sheet3!#REF!</definedName>
    <definedName name="__123Graph_B1994" localSheetId="6" hidden="1">[1]Sheet3!#REF!</definedName>
    <definedName name="__123Graph_B1994" hidden="1">[1]Sheet3!#REF!</definedName>
    <definedName name="__123Graph_B1995" localSheetId="6" hidden="1">[1]Sheet3!#REF!</definedName>
    <definedName name="__123Graph_B1995" hidden="1">[1]Sheet3!#REF!</definedName>
    <definedName name="__123Graph_B1996" localSheetId="6" hidden="1">[1]Sheet3!#REF!</definedName>
    <definedName name="__123Graph_B1996" hidden="1">[1]Sheet3!#REF!</definedName>
    <definedName name="__123Graph_BBAR" localSheetId="6" hidden="1">[1]Sheet3!#REF!</definedName>
    <definedName name="__123Graph_BBAR" hidden="1">[1]Sheet3!#REF!</definedName>
    <definedName name="__123Graph_CBAR" localSheetId="6" hidden="1">[1]Sheet3!#REF!</definedName>
    <definedName name="__123Graph_CBAR" hidden="1">[1]Sheet3!#REF!</definedName>
    <definedName name="__123Graph_DBAR" localSheetId="6" hidden="1">[1]Sheet3!#REF!</definedName>
    <definedName name="__123Graph_DBAR" hidden="1">[1]Sheet3!#REF!</definedName>
    <definedName name="__123Graph_EBAR" localSheetId="6" hidden="1">[1]Sheet3!#REF!</definedName>
    <definedName name="__123Graph_EBAR" hidden="1">[1]Sheet3!#REF!</definedName>
    <definedName name="__123Graph_FBAR" localSheetId="6" hidden="1">[1]Sheet3!#REF!</definedName>
    <definedName name="__123Graph_FBAR" hidden="1">[1]Sheet3!#REF!</definedName>
    <definedName name="__123Graph_X" localSheetId="6" hidden="1">[1]Sheet3!#REF!</definedName>
    <definedName name="__123Graph_X" hidden="1">[1]Sheet3!#REF!</definedName>
    <definedName name="__123Graph_X1991" localSheetId="6" hidden="1">[1]Sheet3!#REF!</definedName>
    <definedName name="__123Graph_X1991" hidden="1">[1]Sheet3!#REF!</definedName>
    <definedName name="__123Graph_X1992" localSheetId="6" hidden="1">[1]Sheet3!#REF!</definedName>
    <definedName name="__123Graph_X1992" hidden="1">[1]Sheet3!#REF!</definedName>
    <definedName name="__123Graph_X1993" localSheetId="6" hidden="1">[1]Sheet3!#REF!</definedName>
    <definedName name="__123Graph_X1993" hidden="1">[1]Sheet3!#REF!</definedName>
    <definedName name="__123Graph_X1994" localSheetId="6" hidden="1">[1]Sheet3!#REF!</definedName>
    <definedName name="__123Graph_X1994" hidden="1">[1]Sheet3!#REF!</definedName>
    <definedName name="__123Graph_X1995" localSheetId="6" hidden="1">[1]Sheet3!#REF!</definedName>
    <definedName name="__123Graph_X1995" hidden="1">[1]Sheet3!#REF!</definedName>
    <definedName name="__123Graph_X1996" localSheetId="6" hidden="1">[1]Sheet3!#REF!</definedName>
    <definedName name="__123Graph_X1996" hidden="1">[1]Sheet3!#REF!</definedName>
    <definedName name="_FEB01" localSheetId="6" hidden="1">{#N/A,#N/A,FALSE,"EMPPAY"}</definedName>
    <definedName name="_FEB01" hidden="1">{#N/A,#N/A,FALSE,"EMPPAY"}</definedName>
    <definedName name="_Fill" localSheetId="6" hidden="1">'[2]Exp Detail'!#REF!</definedName>
    <definedName name="_Fill" hidden="1">'[2]Exp Detail'!#REF!</definedName>
    <definedName name="_JAN01" localSheetId="6" hidden="1">{#N/A,#N/A,FALSE,"EMPPAY"}</definedName>
    <definedName name="_JAN01" hidden="1">{#N/A,#N/A,FALSE,"EMPPAY"}</definedName>
    <definedName name="_JAN2001" localSheetId="6" hidden="1">{#N/A,#N/A,FALSE,"EMPPAY"}</definedName>
    <definedName name="_JAN2001" hidden="1">{#N/A,#N/A,FALSE,"EMPPAY"}</definedName>
    <definedName name="_Key1" localSheetId="6" hidden="1">'[2]Exp Detail'!#REF!</definedName>
    <definedName name="_Key1" hidden="1">'[2]Exp Detail'!#REF!</definedName>
    <definedName name="_Order1" hidden="1">255</definedName>
    <definedName name="_Sort" localSheetId="6" hidden="1">'[2]Exp Detail'!#REF!</definedName>
    <definedName name="_Sort" hidden="1">'[2]Exp Detail'!#REF!</definedName>
    <definedName name="A" localSheetId="6" hidden="1">{#N/A,#N/A,FALSE,"EMPPAY"}</definedName>
    <definedName name="A" hidden="1">{#N/A,#N/A,FALSE,"EMPPAY"}</definedName>
    <definedName name="Adjusted_KW">[3]CALCULATIONS!$C$29</definedName>
    <definedName name="Allocator.gross.plant">'[4]Appendix A'!$H$29</definedName>
    <definedName name="Allocator.net.plant">'[4]Appendix A'!$H$32</definedName>
    <definedName name="Allocator.wages.salary">'[4]Appendix A'!$H$17</definedName>
    <definedName name="Current_Year">'[5]Electric Fund Historical'!$D$1</definedName>
    <definedName name="DEC00" localSheetId="6" hidden="1">{#N/A,#N/A,FALSE,"ARREC"}</definedName>
    <definedName name="DEC00" hidden="1">{#N/A,#N/A,FALSE,"ARREC"}</definedName>
    <definedName name="FEB00" localSheetId="6" hidden="1">{#N/A,#N/A,FALSE,"ARREC"}</definedName>
    <definedName name="FEB00" hidden="1">{#N/A,#N/A,FALSE,"ARREC"}</definedName>
    <definedName name="Hours">[3]CALCULATIONS!$C$11</definedName>
    <definedName name="MAY" localSheetId="6" hidden="1">{#N/A,#N/A,FALSE,"EMPPAY"}</definedName>
    <definedName name="MAY" hidden="1">{#N/A,#N/A,FALSE,"EMPPAY"}</definedName>
    <definedName name="PAGE1" localSheetId="28">#REF!</definedName>
    <definedName name="PAGE1" localSheetId="27">#REF!</definedName>
    <definedName name="PAGE1" localSheetId="29">#REF!</definedName>
    <definedName name="PAGE1">#REF!</definedName>
    <definedName name="PAGE2" localSheetId="28">#REF!</definedName>
    <definedName name="PAGE2" localSheetId="27">#REF!</definedName>
    <definedName name="PAGE2" localSheetId="29">#REF!</definedName>
    <definedName name="PAGE2">#REF!</definedName>
    <definedName name="_xlnm.Print_Area" localSheetId="0">'Nonlevelized-IOU'!$A$1:$K$422</definedName>
    <definedName name="_xlnm.Print_Area" localSheetId="26">tax!$A$1:$N$85</definedName>
    <definedName name="TEST" localSheetId="6" hidden="1">{#N/A,#N/A,FALSE,"EMPPAY"}</definedName>
    <definedName name="TEST" hidden="1">{#N/A,#N/A,FALSE,"EMPPAY"}</definedName>
    <definedName name="wrn.ARREC." localSheetId="6" hidden="1">{#N/A,#N/A,FALSE,"ARREC"}</definedName>
    <definedName name="wrn.ARREC." hidden="1">{#N/A,#N/A,FALSE,"ARREC"}</definedName>
    <definedName name="wrn.EMPPAY." localSheetId="6" hidden="1">{#N/A,#N/A,FALSE,"EMPPAY"}</definedName>
    <definedName name="wrn.EMPPAY." hidden="1">{#N/A,#N/A,FALSE,"EMPPAY"}</definedName>
    <definedName name="xx" localSheetId="6" hidden="1">{#N/A,#N/A,FALSE,"EMPPAY"}</definedName>
    <definedName name="xx" hidden="1">{#N/A,#N/A,FALSE,"EMPPAY"}</definedName>
  </definedNames>
  <calcPr calcId="152511"/>
</workbook>
</file>

<file path=xl/calcChain.xml><?xml version="1.0" encoding="utf-8"?>
<calcChain xmlns="http://schemas.openxmlformats.org/spreadsheetml/2006/main">
  <c r="K7" i="2" l="1"/>
  <c r="C11" i="27" l="1"/>
  <c r="C23" i="25"/>
  <c r="C20" i="21"/>
  <c r="C19" i="21"/>
  <c r="C18" i="21"/>
  <c r="C17" i="21"/>
  <c r="C16" i="21"/>
  <c r="C15" i="21"/>
  <c r="C14" i="21"/>
  <c r="C13" i="21"/>
  <c r="C12" i="21"/>
  <c r="C11" i="21"/>
  <c r="C10" i="21"/>
  <c r="C9" i="21"/>
  <c r="E23" i="18" l="1"/>
  <c r="C17" i="23" l="1"/>
  <c r="C13" i="23"/>
  <c r="C9" i="23"/>
  <c r="E23" i="39"/>
  <c r="D23" i="39"/>
  <c r="E23" i="38" l="1"/>
  <c r="D23" i="38"/>
  <c r="C23" i="32" l="1"/>
  <c r="C22" i="32"/>
  <c r="C21" i="32"/>
  <c r="C20" i="32"/>
  <c r="C19" i="32"/>
  <c r="C18" i="32"/>
  <c r="C17" i="32"/>
  <c r="C16" i="32"/>
  <c r="C15" i="32"/>
  <c r="C14" i="32"/>
  <c r="C13" i="32"/>
  <c r="C12" i="32"/>
  <c r="C11" i="32"/>
  <c r="C10" i="32"/>
  <c r="C9" i="32"/>
  <c r="C8" i="32"/>
  <c r="C7" i="32"/>
  <c r="C6" i="32"/>
  <c r="C5" i="32"/>
  <c r="G32" i="36"/>
  <c r="G16" i="36"/>
  <c r="G18" i="36" s="1"/>
  <c r="G21" i="36" s="1"/>
  <c r="G27" i="36" s="1"/>
  <c r="G11" i="36"/>
  <c r="G26" i="36" s="1"/>
  <c r="C25" i="32" l="1"/>
  <c r="G28" i="36"/>
  <c r="G33" i="36" l="1"/>
  <c r="G35" i="36" s="1"/>
  <c r="M77" i="8"/>
  <c r="M75" i="8"/>
  <c r="M73" i="8"/>
  <c r="I73" i="8"/>
  <c r="M67" i="8"/>
  <c r="M65" i="8"/>
  <c r="M63" i="8"/>
  <c r="H63" i="8"/>
  <c r="M56" i="8"/>
  <c r="M54" i="8"/>
  <c r="M47" i="8"/>
  <c r="M45" i="8"/>
  <c r="M43" i="8"/>
  <c r="F43" i="8"/>
  <c r="M38" i="8"/>
  <c r="M36" i="8"/>
  <c r="M34" i="8"/>
  <c r="E34" i="8"/>
  <c r="M29" i="8"/>
  <c r="M27" i="8"/>
  <c r="M24" i="8"/>
  <c r="D24" i="8"/>
  <c r="M18" i="8"/>
  <c r="M42" i="8" s="1"/>
  <c r="M44" i="8" s="1"/>
  <c r="M46" i="8" s="1"/>
  <c r="M48" i="8" s="1"/>
  <c r="M49" i="8" s="1"/>
  <c r="F18" i="8"/>
  <c r="F42" i="8" s="1"/>
  <c r="F44" i="8" s="1"/>
  <c r="F46" i="8" s="1"/>
  <c r="F48" i="8" s="1"/>
  <c r="K17" i="8"/>
  <c r="K16" i="8"/>
  <c r="K15" i="8"/>
  <c r="K14" i="8"/>
  <c r="K13" i="8"/>
  <c r="K12" i="8"/>
  <c r="I11" i="8"/>
  <c r="I18" i="8" s="1"/>
  <c r="H11" i="8"/>
  <c r="H18" i="8" s="1"/>
  <c r="G11" i="8"/>
  <c r="G18" i="8" s="1"/>
  <c r="F11" i="8"/>
  <c r="E11" i="8"/>
  <c r="E18" i="8" s="1"/>
  <c r="D11" i="8"/>
  <c r="D18" i="8" s="1"/>
  <c r="K6" i="8"/>
  <c r="M33" i="8" l="1"/>
  <c r="M35" i="8" s="1"/>
  <c r="M37" i="8" s="1"/>
  <c r="M39" i="8" s="1"/>
  <c r="M40" i="8" s="1"/>
  <c r="M23" i="8"/>
  <c r="G20" i="8"/>
  <c r="G21" i="8" s="1"/>
  <c r="G51" i="8"/>
  <c r="G53" i="8" s="1"/>
  <c r="G55" i="8" s="1"/>
  <c r="G57" i="8" s="1"/>
  <c r="P40" i="8"/>
  <c r="D20" i="8"/>
  <c r="K18" i="8"/>
  <c r="D23" i="8"/>
  <c r="H62" i="8"/>
  <c r="H64" i="8" s="1"/>
  <c r="H66" i="8" s="1"/>
  <c r="H68" i="8" s="1"/>
  <c r="H20" i="8"/>
  <c r="H21" i="8" s="1"/>
  <c r="F49" i="8"/>
  <c r="K48" i="8"/>
  <c r="E33" i="8"/>
  <c r="E35" i="8" s="1"/>
  <c r="E37" i="8" s="1"/>
  <c r="E39" i="8" s="1"/>
  <c r="E20" i="8"/>
  <c r="E21" i="8" s="1"/>
  <c r="I72" i="8"/>
  <c r="I74" i="8" s="1"/>
  <c r="I76" i="8" s="1"/>
  <c r="I78" i="8" s="1"/>
  <c r="I20" i="8"/>
  <c r="I21" i="8" s="1"/>
  <c r="P49" i="8"/>
  <c r="K11" i="8"/>
  <c r="M62" i="8"/>
  <c r="M64" i="8" s="1"/>
  <c r="M66" i="8" s="1"/>
  <c r="M68" i="8" s="1"/>
  <c r="M69" i="8" s="1"/>
  <c r="F20" i="8"/>
  <c r="F21" i="8" s="1"/>
  <c r="M51" i="8"/>
  <c r="M53" i="8" s="1"/>
  <c r="M55" i="8" s="1"/>
  <c r="M57" i="8" s="1"/>
  <c r="M58" i="8" s="1"/>
  <c r="M72" i="8"/>
  <c r="M74" i="8" s="1"/>
  <c r="M76" i="8" s="1"/>
  <c r="M78" i="8" s="1"/>
  <c r="M79" i="8" s="1"/>
  <c r="M20" i="8"/>
  <c r="I79" i="8" l="1"/>
  <c r="K78" i="8"/>
  <c r="K79" i="8" s="1"/>
  <c r="G58" i="8"/>
  <c r="K57" i="8"/>
  <c r="K58" i="8" s="1"/>
  <c r="F82" i="8"/>
  <c r="M21" i="8"/>
  <c r="M25" i="8"/>
  <c r="M26" i="8" s="1"/>
  <c r="M28" i="8" s="1"/>
  <c r="M30" i="8" s="1"/>
  <c r="M31" i="8" s="1"/>
  <c r="P69" i="8"/>
  <c r="K39" i="8"/>
  <c r="K40" i="8" s="1"/>
  <c r="E40" i="8"/>
  <c r="K68" i="8"/>
  <c r="K69" i="8" s="1"/>
  <c r="H69" i="8"/>
  <c r="H82" i="8" s="1"/>
  <c r="P79" i="8"/>
  <c r="I82" i="8"/>
  <c r="K49" i="8"/>
  <c r="E82" i="8"/>
  <c r="D21" i="8"/>
  <c r="D25" i="8"/>
  <c r="D26" i="8" s="1"/>
  <c r="D28" i="8" s="1"/>
  <c r="D30" i="8" s="1"/>
  <c r="K20" i="8"/>
  <c r="K21" i="8" s="1"/>
  <c r="G82" i="8"/>
  <c r="D31" i="8" l="1"/>
  <c r="D82" i="8" s="1"/>
  <c r="K30" i="8"/>
  <c r="K31" i="8" s="1"/>
  <c r="K82" i="8" s="1"/>
  <c r="P31" i="8"/>
  <c r="M82" i="8"/>
  <c r="N82" i="8" s="1"/>
  <c r="P21" i="8"/>
  <c r="P82" i="8" l="1"/>
  <c r="N83" i="8"/>
  <c r="M83" i="8"/>
  <c r="N40" i="8" l="1"/>
  <c r="N49" i="8"/>
  <c r="N58" i="8"/>
  <c r="N79" i="8"/>
  <c r="N69" i="8"/>
  <c r="N31" i="8"/>
  <c r="N81" i="8" l="1"/>
  <c r="D174" i="35" l="1"/>
  <c r="L27" i="37" l="1"/>
  <c r="L21" i="37"/>
  <c r="L18" i="37"/>
  <c r="L17" i="37"/>
  <c r="L16" i="37"/>
  <c r="H26" i="37"/>
  <c r="H17" i="37"/>
  <c r="F46" i="37"/>
  <c r="C45" i="37"/>
  <c r="I46" i="37"/>
  <c r="C39" i="37"/>
  <c r="F34" i="37"/>
  <c r="C33" i="37"/>
  <c r="I34" i="37"/>
  <c r="J27" i="37"/>
  <c r="H27" i="37"/>
  <c r="C27" i="37"/>
  <c r="L26" i="37"/>
  <c r="J26" i="37"/>
  <c r="L25" i="37"/>
  <c r="J25" i="37"/>
  <c r="H25" i="37"/>
  <c r="L24" i="37"/>
  <c r="J24" i="37"/>
  <c r="H24" i="37"/>
  <c r="L23" i="37"/>
  <c r="J23" i="37"/>
  <c r="H23" i="37"/>
  <c r="L22" i="37"/>
  <c r="J22" i="37"/>
  <c r="H22" i="37"/>
  <c r="J21" i="37"/>
  <c r="H21" i="37"/>
  <c r="L20" i="37"/>
  <c r="J20" i="37"/>
  <c r="H20" i="37"/>
  <c r="L19" i="37"/>
  <c r="J19" i="37"/>
  <c r="H19" i="37"/>
  <c r="J18" i="37"/>
  <c r="H18" i="37"/>
  <c r="J17" i="37"/>
  <c r="J16" i="37"/>
  <c r="H16" i="37"/>
  <c r="L15" i="37"/>
  <c r="J15" i="37"/>
  <c r="H15" i="37"/>
  <c r="M23" i="37" l="1"/>
  <c r="M15" i="37"/>
  <c r="M24" i="37"/>
  <c r="M16" i="37"/>
  <c r="M27" i="37"/>
  <c r="M26" i="37"/>
  <c r="M25" i="37"/>
  <c r="M22" i="37"/>
  <c r="M21" i="37"/>
  <c r="M20" i="37"/>
  <c r="M19" i="37"/>
  <c r="M18" i="37"/>
  <c r="M17" i="37"/>
  <c r="F28" i="37"/>
  <c r="J34" i="37"/>
  <c r="J46" i="37"/>
  <c r="K34" i="37"/>
  <c r="G46" i="37"/>
  <c r="K46" i="37"/>
  <c r="G34" i="37"/>
  <c r="M28" i="37" l="1"/>
  <c r="H46" i="37"/>
  <c r="H34" i="37"/>
  <c r="L34" i="37"/>
  <c r="L46" i="37"/>
  <c r="M46" i="37" l="1"/>
  <c r="M34" i="37"/>
  <c r="I210" i="35"/>
  <c r="M48" i="37" l="1"/>
  <c r="D115" i="35" s="1"/>
  <c r="I115" i="35" s="1"/>
  <c r="I213" i="35"/>
  <c r="I24" i="35" l="1"/>
  <c r="I23" i="35"/>
  <c r="D373" i="35"/>
  <c r="D371" i="35"/>
  <c r="D370" i="35"/>
  <c r="I25" i="35" l="1"/>
  <c r="D372" i="35"/>
  <c r="D374" i="35" s="1"/>
  <c r="I26" i="35" s="1"/>
  <c r="I27" i="35"/>
  <c r="I293" i="35"/>
  <c r="I292" i="35"/>
  <c r="I290" i="35"/>
  <c r="I271" i="35"/>
  <c r="I266" i="35"/>
  <c r="D253" i="35"/>
  <c r="G253" i="35" s="1"/>
  <c r="D252" i="35"/>
  <c r="D251" i="35"/>
  <c r="G251" i="35" s="1"/>
  <c r="I242" i="35"/>
  <c r="D177" i="35"/>
  <c r="D167" i="35"/>
  <c r="D166" i="35"/>
  <c r="D163" i="35"/>
  <c r="I163" i="35" s="1"/>
  <c r="D307" i="35"/>
  <c r="K304" i="35"/>
  <c r="I285" i="35"/>
  <c r="G276" i="35"/>
  <c r="I270" i="35"/>
  <c r="I257" i="35"/>
  <c r="D229" i="35"/>
  <c r="G226" i="35"/>
  <c r="F188" i="35"/>
  <c r="C188" i="35"/>
  <c r="F184" i="35"/>
  <c r="C184" i="35"/>
  <c r="B178" i="35"/>
  <c r="B174" i="35"/>
  <c r="I170" i="35"/>
  <c r="C169" i="35"/>
  <c r="F168" i="35"/>
  <c r="F166" i="35"/>
  <c r="F167" i="35" s="1"/>
  <c r="D157" i="35"/>
  <c r="K154" i="35"/>
  <c r="D109" i="35"/>
  <c r="F101" i="35"/>
  <c r="B101" i="35"/>
  <c r="B109" i="35" s="1"/>
  <c r="F100" i="35"/>
  <c r="B100" i="35"/>
  <c r="B108" i="35" s="1"/>
  <c r="G99" i="35"/>
  <c r="F99" i="35"/>
  <c r="B99" i="35"/>
  <c r="B107" i="35" s="1"/>
  <c r="F98" i="35"/>
  <c r="F124" i="35" s="1"/>
  <c r="B98" i="35"/>
  <c r="B106" i="35" s="1"/>
  <c r="G97" i="35"/>
  <c r="F97" i="35"/>
  <c r="F187" i="35" s="1"/>
  <c r="B97" i="35"/>
  <c r="B105" i="35" s="1"/>
  <c r="D83" i="35"/>
  <c r="K80" i="35"/>
  <c r="I58" i="35"/>
  <c r="I57" i="35"/>
  <c r="F18" i="35"/>
  <c r="F19" i="35" s="1"/>
  <c r="F20" i="35" s="1"/>
  <c r="D179" i="35" l="1"/>
  <c r="C23" i="18" l="1"/>
  <c r="D186" i="35" l="1"/>
  <c r="D183" i="35"/>
  <c r="D188" i="35"/>
  <c r="G10" i="18"/>
  <c r="G21" i="18"/>
  <c r="G11" i="18"/>
  <c r="G12" i="18"/>
  <c r="G13" i="18"/>
  <c r="G14" i="18"/>
  <c r="G15" i="18"/>
  <c r="G16" i="18"/>
  <c r="G17" i="18"/>
  <c r="G18" i="18"/>
  <c r="G19" i="18"/>
  <c r="G20" i="18"/>
  <c r="G9" i="18"/>
  <c r="F23" i="18"/>
  <c r="D190" i="35" l="1"/>
  <c r="C12" i="33"/>
  <c r="C11" i="33"/>
  <c r="C9" i="33"/>
  <c r="C8" i="33"/>
  <c r="D325" i="35" l="1"/>
  <c r="D324" i="35"/>
  <c r="C14" i="33"/>
  <c r="D326" i="35" l="1"/>
  <c r="D193" i="35" s="1"/>
  <c r="D197" i="35" l="1"/>
  <c r="D23" i="18" l="1"/>
  <c r="I12" i="9" l="1"/>
  <c r="I13" i="9"/>
  <c r="I14" i="9"/>
  <c r="I15" i="9"/>
  <c r="I16" i="9"/>
  <c r="I17" i="9"/>
  <c r="I18" i="9"/>
  <c r="I19" i="9"/>
  <c r="I20" i="9"/>
  <c r="I21" i="9"/>
  <c r="D122" i="35" l="1"/>
  <c r="D25" i="13" l="1"/>
  <c r="F23" i="9"/>
  <c r="E23" i="9"/>
  <c r="D90" i="35" s="1"/>
  <c r="D23" i="9"/>
  <c r="D89" i="35" s="1"/>
  <c r="D23" i="11"/>
  <c r="D97" i="35" s="1"/>
  <c r="F23" i="11"/>
  <c r="E23" i="11"/>
  <c r="D98" i="35" s="1"/>
  <c r="D129" i="35" l="1"/>
  <c r="D99" i="35"/>
  <c r="D91" i="35"/>
  <c r="D258" i="35"/>
  <c r="C13" i="27"/>
  <c r="D164" i="35" l="1"/>
  <c r="D107" i="35"/>
  <c r="I233" i="35"/>
  <c r="I236" i="35" s="1"/>
  <c r="I238" i="35" s="1"/>
  <c r="D106" i="35"/>
  <c r="D105" i="35"/>
  <c r="G23" i="9"/>
  <c r="I11" i="9"/>
  <c r="H23" i="9"/>
  <c r="I10" i="9"/>
  <c r="C25" i="25"/>
  <c r="C11" i="24"/>
  <c r="D198" i="35" s="1"/>
  <c r="D201" i="35" l="1"/>
  <c r="D259" i="35"/>
  <c r="D261" i="35" s="1"/>
  <c r="G259" i="35" s="1"/>
  <c r="D92" i="35"/>
  <c r="I246" i="35"/>
  <c r="G17" i="35"/>
  <c r="E252" i="35"/>
  <c r="G252" i="35" s="1"/>
  <c r="G90" i="35"/>
  <c r="I9" i="9"/>
  <c r="D94" i="35" l="1"/>
  <c r="G18" i="35"/>
  <c r="G19" i="35" s="1"/>
  <c r="G98" i="35"/>
  <c r="I90" i="35"/>
  <c r="G121" i="35"/>
  <c r="I121" i="35" s="1"/>
  <c r="G120" i="35"/>
  <c r="I120" i="35" s="1"/>
  <c r="G112" i="35"/>
  <c r="C22" i="22"/>
  <c r="C22" i="21"/>
  <c r="D165" i="35" l="1"/>
  <c r="D162" i="35"/>
  <c r="I98" i="35"/>
  <c r="G124" i="35"/>
  <c r="G20" i="35"/>
  <c r="I20" i="35" s="1"/>
  <c r="I19" i="35"/>
  <c r="D24" i="20"/>
  <c r="E24" i="20"/>
  <c r="F24" i="20"/>
  <c r="G24" i="20"/>
  <c r="H24" i="20"/>
  <c r="I24" i="20"/>
  <c r="J12" i="20"/>
  <c r="J13" i="20"/>
  <c r="J14" i="20"/>
  <c r="J15" i="20"/>
  <c r="J16" i="20"/>
  <c r="J17" i="20"/>
  <c r="J18" i="20"/>
  <c r="J19" i="20"/>
  <c r="J20" i="20"/>
  <c r="J21" i="20"/>
  <c r="J22" i="20"/>
  <c r="J11" i="20"/>
  <c r="C24" i="20"/>
  <c r="D23" i="19"/>
  <c r="C23" i="19"/>
  <c r="E21" i="19"/>
  <c r="E20" i="19"/>
  <c r="E19" i="19"/>
  <c r="E18" i="19"/>
  <c r="E17" i="19"/>
  <c r="E16" i="19"/>
  <c r="E15" i="19"/>
  <c r="E14" i="19"/>
  <c r="E13" i="19"/>
  <c r="E12" i="19"/>
  <c r="E11" i="19"/>
  <c r="E10" i="19"/>
  <c r="E9" i="19"/>
  <c r="D24" i="17"/>
  <c r="C23" i="17"/>
  <c r="E23" i="19" l="1"/>
  <c r="I264" i="35"/>
  <c r="D275" i="35"/>
  <c r="I241" i="35"/>
  <c r="I243" i="35" s="1"/>
  <c r="I245" i="35" s="1"/>
  <c r="I247" i="35" s="1"/>
  <c r="D171" i="35"/>
  <c r="D127" i="35" s="1"/>
  <c r="I124" i="35"/>
  <c r="G175" i="35"/>
  <c r="I175" i="35" s="1"/>
  <c r="G176" i="35"/>
  <c r="I176" i="35" s="1"/>
  <c r="G174" i="35"/>
  <c r="I174" i="35" s="1"/>
  <c r="I106" i="35"/>
  <c r="I41" i="35"/>
  <c r="I39" i="35"/>
  <c r="G23" i="18"/>
  <c r="J24" i="20"/>
  <c r="C23" i="16"/>
  <c r="D112" i="35" l="1"/>
  <c r="I112" i="35" s="1"/>
  <c r="G275" i="35"/>
  <c r="I269" i="35"/>
  <c r="I272" i="35" s="1"/>
  <c r="D277" i="35" s="1"/>
  <c r="D278" i="35" s="1"/>
  <c r="G128" i="35"/>
  <c r="G162" i="35"/>
  <c r="I46" i="35"/>
  <c r="C20" i="15"/>
  <c r="E275" i="35" l="1"/>
  <c r="I275" i="35" s="1"/>
  <c r="E276" i="35"/>
  <c r="I276" i="35" s="1"/>
  <c r="E277" i="35"/>
  <c r="I277" i="35" s="1"/>
  <c r="D254" i="35"/>
  <c r="G168" i="35"/>
  <c r="I168" i="35" s="1"/>
  <c r="G164" i="35"/>
  <c r="I164" i="35" s="1"/>
  <c r="I162" i="35"/>
  <c r="C22" i="15"/>
  <c r="D13" i="15" s="1"/>
  <c r="C19" i="14"/>
  <c r="C12" i="13"/>
  <c r="C13" i="13"/>
  <c r="C14" i="13"/>
  <c r="C15" i="13"/>
  <c r="C16" i="13"/>
  <c r="C17" i="13"/>
  <c r="C18" i="13"/>
  <c r="C19" i="13"/>
  <c r="C20" i="13"/>
  <c r="C21" i="13"/>
  <c r="C22" i="13"/>
  <c r="C11" i="13"/>
  <c r="D24" i="13"/>
  <c r="D24" i="12"/>
  <c r="E24" i="12"/>
  <c r="C24" i="12"/>
  <c r="D23" i="12"/>
  <c r="E23" i="12"/>
  <c r="C23" i="12"/>
  <c r="F10" i="12"/>
  <c r="F11" i="12"/>
  <c r="F12" i="12"/>
  <c r="F13" i="12"/>
  <c r="F14" i="12"/>
  <c r="F15" i="12"/>
  <c r="F16" i="12"/>
  <c r="F17" i="12"/>
  <c r="F18" i="12"/>
  <c r="F19" i="12"/>
  <c r="F20" i="12"/>
  <c r="F21" i="12"/>
  <c r="F9" i="12"/>
  <c r="G23" i="11"/>
  <c r="H21" i="11"/>
  <c r="H20" i="11"/>
  <c r="H19" i="11"/>
  <c r="H18" i="11"/>
  <c r="H17" i="11"/>
  <c r="H16" i="11"/>
  <c r="H15" i="11"/>
  <c r="H14" i="11"/>
  <c r="H13" i="11"/>
  <c r="H12" i="11"/>
  <c r="H11" i="11"/>
  <c r="H10" i="11"/>
  <c r="H9" i="11"/>
  <c r="I278" i="35" l="1"/>
  <c r="D194" i="35" s="1"/>
  <c r="G254" i="35"/>
  <c r="G255" i="35" s="1"/>
  <c r="D255" i="35"/>
  <c r="D128" i="35"/>
  <c r="D100" i="35"/>
  <c r="D18" i="15"/>
  <c r="D15" i="15"/>
  <c r="D20" i="15"/>
  <c r="D19" i="15"/>
  <c r="D11" i="15"/>
  <c r="F24" i="12"/>
  <c r="F23" i="12"/>
  <c r="I23" i="9"/>
  <c r="H23" i="11"/>
  <c r="I255" i="35" l="1"/>
  <c r="G92" i="35" s="1"/>
  <c r="D130" i="35"/>
  <c r="I128" i="35"/>
  <c r="D102" i="35"/>
  <c r="D108" i="35"/>
  <c r="D110" i="35" s="1"/>
  <c r="D22" i="15"/>
  <c r="N12" i="3"/>
  <c r="M12" i="3"/>
  <c r="L12" i="3"/>
  <c r="K12" i="3"/>
  <c r="J12" i="3"/>
  <c r="I12" i="3"/>
  <c r="H12" i="3"/>
  <c r="G12" i="3"/>
  <c r="F12" i="3"/>
  <c r="E12" i="3"/>
  <c r="D12" i="3"/>
  <c r="C12" i="3"/>
  <c r="P10" i="3"/>
  <c r="P8" i="3"/>
  <c r="J34" i="2"/>
  <c r="I259" i="35" l="1"/>
  <c r="K259" i="35" s="1"/>
  <c r="G93" i="35" s="1"/>
  <c r="G101" i="35" s="1"/>
  <c r="G100" i="35"/>
  <c r="I92" i="35"/>
  <c r="D132" i="35"/>
  <c r="D204" i="35" s="1"/>
  <c r="D200" i="35" s="1"/>
  <c r="D202" i="35" s="1"/>
  <c r="D207" i="35" s="1"/>
  <c r="D214" i="35" s="1"/>
  <c r="K36" i="2"/>
  <c r="I291" i="35"/>
  <c r="I294" i="35" s="1"/>
  <c r="D18" i="35" s="1"/>
  <c r="I18" i="35" s="1"/>
  <c r="P12" i="3"/>
  <c r="I287" i="35" s="1"/>
  <c r="D17" i="35" s="1"/>
  <c r="I17" i="35" s="1"/>
  <c r="I21" i="35" l="1"/>
  <c r="I93" i="35"/>
  <c r="I94" i="35" s="1"/>
  <c r="G94" i="35" s="1"/>
  <c r="G186" i="35" s="1"/>
  <c r="G165" i="35"/>
  <c r="I100" i="35"/>
  <c r="I101" i="35"/>
  <c r="G169" i="35"/>
  <c r="K42" i="2"/>
  <c r="I34" i="2"/>
  <c r="I109" i="35" l="1"/>
  <c r="G129" i="35"/>
  <c r="I129" i="35" s="1"/>
  <c r="I186" i="35"/>
  <c r="G188" i="35"/>
  <c r="I188" i="35" s="1"/>
  <c r="G189" i="35"/>
  <c r="I189" i="35" s="1"/>
  <c r="G178" i="35"/>
  <c r="I178" i="35" s="1"/>
  <c r="I169" i="35"/>
  <c r="I102" i="35"/>
  <c r="I108" i="35"/>
  <c r="G177" i="35"/>
  <c r="G166" i="35"/>
  <c r="I165" i="35"/>
  <c r="I110" i="35" l="1"/>
  <c r="G110" i="35" s="1"/>
  <c r="G201" i="35" s="1"/>
  <c r="I201" i="35" s="1"/>
  <c r="G183" i="35"/>
  <c r="I177" i="35"/>
  <c r="I179" i="35" s="1"/>
  <c r="I166" i="35"/>
  <c r="G167" i="35"/>
  <c r="I167" i="35" s="1"/>
  <c r="I171" i="35" l="1"/>
  <c r="I127" i="35" s="1"/>
  <c r="I130" i="35" s="1"/>
  <c r="I116" i="35"/>
  <c r="G184" i="35"/>
  <c r="I184" i="35" s="1"/>
  <c r="I183" i="35"/>
  <c r="I190" i="35" l="1"/>
  <c r="G119" i="35"/>
  <c r="I119" i="35" s="1"/>
  <c r="I118" i="35"/>
  <c r="I117" i="35"/>
  <c r="I122" i="35" l="1"/>
  <c r="I132" i="35" s="1"/>
  <c r="I204" i="35" s="1"/>
  <c r="I200" i="35" s="1"/>
  <c r="I202" i="35" s="1"/>
  <c r="I207" i="35" s="1"/>
  <c r="I214" i="35" s="1"/>
  <c r="I14" i="35" s="1"/>
  <c r="I29" i="35" s="1"/>
  <c r="I35" i="35" s="1"/>
  <c r="D48" i="35" s="1"/>
  <c r="D54" i="35" s="1"/>
  <c r="D49" i="35" l="1"/>
  <c r="I53" i="35"/>
  <c r="I52" i="35"/>
  <c r="D52" i="35"/>
  <c r="D53" i="35"/>
  <c r="I54" i="35"/>
</calcChain>
</file>

<file path=xl/sharedStrings.xml><?xml version="1.0" encoding="utf-8"?>
<sst xmlns="http://schemas.openxmlformats.org/spreadsheetml/2006/main" count="1159" uniqueCount="724">
  <si>
    <t xml:space="preserve">Formula Rate - Non-Levelized </t>
  </si>
  <si>
    <t xml:space="preserve">     Rate Formula Template</t>
  </si>
  <si>
    <t xml:space="preserve"> </t>
  </si>
  <si>
    <t xml:space="preserve"> Utilizing FERC Form 1 Data</t>
  </si>
  <si>
    <t>Line</t>
  </si>
  <si>
    <t>Allocated</t>
  </si>
  <si>
    <t>No.</t>
  </si>
  <si>
    <t>Amount</t>
  </si>
  <si>
    <t xml:space="preserve">REVENUE CREDITS </t>
  </si>
  <si>
    <t>Total</t>
  </si>
  <si>
    <t>Allocator</t>
  </si>
  <si>
    <t>TP</t>
  </si>
  <si>
    <t xml:space="preserve">  Account No. 454</t>
  </si>
  <si>
    <t>NET REVENUE REQUIREMENT</t>
  </si>
  <si>
    <t xml:space="preserve">DIVISOR </t>
  </si>
  <si>
    <t xml:space="preserve">  Average of 12 coincident system peaks for requirements (RQ) service       </t>
  </si>
  <si>
    <t>(Note A)</t>
  </si>
  <si>
    <t>(Note B)</t>
  </si>
  <si>
    <t>(Note C)</t>
  </si>
  <si>
    <t>(Note D)</t>
  </si>
  <si>
    <t>Annual Cost ($/kW/Yr)</t>
  </si>
  <si>
    <t>Peak Rate</t>
  </si>
  <si>
    <t>Off-Peak Rate</t>
  </si>
  <si>
    <t>Point-To-Point Rate ($/kW/Wk)</t>
  </si>
  <si>
    <t>Point-To-Point Rate ($/kW/Day)</t>
  </si>
  <si>
    <t>Capped at weekly rate</t>
  </si>
  <si>
    <t>Point-To-Point Rate ($/MWh)</t>
  </si>
  <si>
    <t>Capped at weekly</t>
  </si>
  <si>
    <t xml:space="preserve"> times 1,000)</t>
  </si>
  <si>
    <t>and daily rates</t>
  </si>
  <si>
    <t>Short Term</t>
  </si>
  <si>
    <t>Long Term</t>
  </si>
  <si>
    <t>(1)</t>
  </si>
  <si>
    <t>(2)</t>
  </si>
  <si>
    <t>(3)</t>
  </si>
  <si>
    <t>(4)</t>
  </si>
  <si>
    <t>(5)</t>
  </si>
  <si>
    <t>Form No. 1</t>
  </si>
  <si>
    <t>Transmission</t>
  </si>
  <si>
    <t>Page, Line, Col.</t>
  </si>
  <si>
    <t>Company Total</t>
  </si>
  <si>
    <t xml:space="preserve">                  Allocator</t>
  </si>
  <si>
    <t>(Col 3 times Col 4)</t>
  </si>
  <si>
    <t>RATE BASE:</t>
  </si>
  <si>
    <t xml:space="preserve">  Production</t>
  </si>
  <si>
    <t>NA</t>
  </si>
  <si>
    <t xml:space="preserve">  Transmission</t>
  </si>
  <si>
    <t xml:space="preserve">  Distribution</t>
  </si>
  <si>
    <t xml:space="preserve">  General &amp; Intangible</t>
  </si>
  <si>
    <t>W/S</t>
  </si>
  <si>
    <t xml:space="preserve">  Common</t>
  </si>
  <si>
    <t>356.1</t>
  </si>
  <si>
    <t>GP=</t>
  </si>
  <si>
    <t>NP=</t>
  </si>
  <si>
    <t>NP</t>
  </si>
  <si>
    <t xml:space="preserve">LAND HELD FOR FUTURE USE </t>
  </si>
  <si>
    <t>214.x.d  (Note G)</t>
  </si>
  <si>
    <t>TE</t>
  </si>
  <si>
    <t>GP</t>
  </si>
  <si>
    <t xml:space="preserve">  Transmission </t>
  </si>
  <si>
    <t xml:space="preserve">     Less Account 565</t>
  </si>
  <si>
    <t xml:space="preserve">  A&amp;G</t>
  </si>
  <si>
    <t xml:space="preserve">     Less FERC Annual Fees</t>
  </si>
  <si>
    <t xml:space="preserve">  Transmission Lease Payments</t>
  </si>
  <si>
    <t>336.7.b</t>
  </si>
  <si>
    <t xml:space="preserve">  LABOR RELATED</t>
  </si>
  <si>
    <t xml:space="preserve">          Payroll</t>
  </si>
  <si>
    <t xml:space="preserve">          Highway and vehicle</t>
  </si>
  <si>
    <t xml:space="preserve">  PLANT RELATED</t>
  </si>
  <si>
    <t xml:space="preserve">         Property</t>
  </si>
  <si>
    <t xml:space="preserve">         Gross Receipts</t>
  </si>
  <si>
    <t xml:space="preserve">         Other</t>
  </si>
  <si>
    <t xml:space="preserve">         Payments in lieu of taxes</t>
  </si>
  <si>
    <t>TOTAL OTHER TAXES  (sum lines 13 - 19)</t>
  </si>
  <si>
    <t xml:space="preserve">INCOME TAXES          </t>
  </si>
  <si>
    <t xml:space="preserve">RETURN </t>
  </si>
  <si>
    <t xml:space="preserve">                SUPPORTING CALCULATIONS AND NOTES</t>
  </si>
  <si>
    <t xml:space="preserve">TRANSMISSION EXPENSES </t>
  </si>
  <si>
    <t>TE=</t>
  </si>
  <si>
    <t>TRANSMISSION PLANT INCLUDED IN ISO RATES</t>
  </si>
  <si>
    <t>TP=</t>
  </si>
  <si>
    <t>WAGES &amp; SALARY ALLOCATOR   (W&amp;S)</t>
  </si>
  <si>
    <t>Form 1 Reference</t>
  </si>
  <si>
    <t>$</t>
  </si>
  <si>
    <t>Allocation</t>
  </si>
  <si>
    <t>W&amp;S Allocator</t>
  </si>
  <si>
    <t xml:space="preserve">  Other</t>
  </si>
  <si>
    <t>($ / Allocation)</t>
  </si>
  <si>
    <t>=</t>
  </si>
  <si>
    <t>% Electric</t>
  </si>
  <si>
    <t xml:space="preserve">  Electric</t>
  </si>
  <si>
    <t>200.3.c</t>
  </si>
  <si>
    <t>(line 17 / line 20)</t>
  </si>
  <si>
    <t>(line 16)</t>
  </si>
  <si>
    <t>CE</t>
  </si>
  <si>
    <t xml:space="preserve">  Gas</t>
  </si>
  <si>
    <t>*</t>
  </si>
  <si>
    <t xml:space="preserve">  Water</t>
  </si>
  <si>
    <t>RETURN (R)</t>
  </si>
  <si>
    <t>Preferred Dividends (118.29c) (positive number)</t>
  </si>
  <si>
    <t xml:space="preserve">                                          Development of Common Stock:</t>
  </si>
  <si>
    <t>Common Stock</t>
  </si>
  <si>
    <t>(sum lines 23-25)</t>
  </si>
  <si>
    <t>Cost</t>
  </si>
  <si>
    <t>%</t>
  </si>
  <si>
    <t>(Note P)</t>
  </si>
  <si>
    <t>Weighted</t>
  </si>
  <si>
    <t>=WCLTD</t>
  </si>
  <si>
    <t xml:space="preserve">  Common Stock  (line 26)</t>
  </si>
  <si>
    <t>=R</t>
  </si>
  <si>
    <t>REVENUE CREDITS</t>
  </si>
  <si>
    <t>ACCOUNT 447 (SALES FOR RESALE)</t>
  </si>
  <si>
    <t>(310-311)</t>
  </si>
  <si>
    <t>(Note Q)</t>
  </si>
  <si>
    <t xml:space="preserve">  Total of (a)-(b)</t>
  </si>
  <si>
    <t xml:space="preserve">  a. Transmission charges for all transmission transactions </t>
  </si>
  <si>
    <t>Note</t>
  </si>
  <si>
    <t>Letter</t>
  </si>
  <si>
    <t>A</t>
  </si>
  <si>
    <t>B</t>
  </si>
  <si>
    <t>C</t>
  </si>
  <si>
    <t>D</t>
  </si>
  <si>
    <t>E</t>
  </si>
  <si>
    <t>F</t>
  </si>
  <si>
    <t>G</t>
  </si>
  <si>
    <t>Identified in Form 1 as being only transmission related.</t>
  </si>
  <si>
    <t>H</t>
  </si>
  <si>
    <t>I</t>
  </si>
  <si>
    <t>J</t>
  </si>
  <si>
    <t>K</t>
  </si>
  <si>
    <t>L</t>
  </si>
  <si>
    <t>M</t>
  </si>
  <si>
    <t>N</t>
  </si>
  <si>
    <t>O</t>
  </si>
  <si>
    <t>P</t>
  </si>
  <si>
    <t>Q</t>
  </si>
  <si>
    <t>R</t>
  </si>
  <si>
    <t>Includes income related only to transmission facilities, such as pole attachments, rentals and special use.</t>
  </si>
  <si>
    <t xml:space="preserve">  Plus Contract Demand of firm P-T-P over one year</t>
  </si>
  <si>
    <t>TOTAL REVENUE CREDITS  (sum lines 2-5)</t>
  </si>
  <si>
    <t xml:space="preserve">Network &amp; P-to-P Rate ($/kW/Mo) </t>
  </si>
  <si>
    <t xml:space="preserve">  a. Bundled Non-RQ Sales for Resale (311.x.h)</t>
  </si>
  <si>
    <t xml:space="preserve">  Revenues from Grandfathered Interzonal Transactions</t>
  </si>
  <si>
    <t xml:space="preserve">  Revenues from service provided by the ISO at a discount</t>
  </si>
  <si>
    <t xml:space="preserve">  Less 12 CP of firm P-T-P over one year (enter negative)</t>
  </si>
  <si>
    <t>Divisor (sum lines 8-14)</t>
  </si>
  <si>
    <t>(line 7 / line 15)</t>
  </si>
  <si>
    <t>(line 16 / 12)</t>
  </si>
  <si>
    <t>(line 16 / 52; line 16 / 52)</t>
  </si>
  <si>
    <t>Total Income Taxes</t>
  </si>
  <si>
    <t xml:space="preserve">  Total  (sum lines 17 - 19)</t>
  </si>
  <si>
    <t>Load</t>
  </si>
  <si>
    <t>(page 4, line 34)</t>
  </si>
  <si>
    <t>(page 4, line 37)</t>
  </si>
  <si>
    <t xml:space="preserve">  Plus 12 CP of firm bundled sales over one year not in line 8</t>
  </si>
  <si>
    <t xml:space="preserve">  Plus 12 CP of Network Load not in line 8</t>
  </si>
  <si>
    <t>FIT =</t>
  </si>
  <si>
    <t>SIT=</t>
  </si>
  <si>
    <t xml:space="preserve">  (State Income Tax Rate or Composite SIT)</t>
  </si>
  <si>
    <t>p =</t>
  </si>
  <si>
    <t xml:space="preserve">  (percent of federal income tax deductible for state purposes)</t>
  </si>
  <si>
    <t xml:space="preserve">     T=1 - {[(1 - SIT) * (1 - FIT)] / (1 - SIT * FIT * p)} =</t>
  </si>
  <si>
    <t xml:space="preserve">     CIT=(T/1-T) * (1-(WCLTD/R)) =</t>
  </si>
  <si>
    <t>Amortized Investment Tax Credit (266.8f) (enter negative)</t>
  </si>
  <si>
    <t xml:space="preserve">      1 / (1 - T)  = (from line 21)</t>
  </si>
  <si>
    <t xml:space="preserve">       and FIT, SIT &amp; p are as given in footnote K.</t>
  </si>
  <si>
    <t>Income Tax Calculation = line 22 * line 28</t>
  </si>
  <si>
    <t>REV. REQUIREMENT  (sum lines 8, 12, 20, 27, 28)</t>
  </si>
  <si>
    <t>ITC adjustment (line 23 * line 24)</t>
  </si>
  <si>
    <t>(line 25 plus line 26)</t>
  </si>
  <si>
    <t>calculated</t>
  </si>
  <si>
    <t>WS</t>
  </si>
  <si>
    <t xml:space="preserve">  Less Contract Demands from service over one year provided by ISO at a discount (enter negative)</t>
  </si>
  <si>
    <t>WORKING CAPITAL  (Note H)</t>
  </si>
  <si>
    <t xml:space="preserve">  CWC  </t>
  </si>
  <si>
    <t>Total  (sum lines 27-29)</t>
  </si>
  <si>
    <t xml:space="preserve">  b. Transmission charges for all transmission transactions included in Divisor on Page 1</t>
  </si>
  <si>
    <t xml:space="preserve">  b. Bundled Sales for Resale  included in Divisor on page 1</t>
  </si>
  <si>
    <t>Enter dollar amounts</t>
  </si>
  <si>
    <t xml:space="preserve">  Total  (sum lines 12-15)</t>
  </si>
  <si>
    <t xml:space="preserve">Less Preferred Stock (line 28) </t>
  </si>
  <si>
    <t>5a</t>
  </si>
  <si>
    <t>zero</t>
  </si>
  <si>
    <t xml:space="preserve">The FERC's annual charges for the year assessed the Transmission Owner for service under this tariff. </t>
  </si>
  <si>
    <t>S</t>
  </si>
  <si>
    <t>(Note T)</t>
  </si>
  <si>
    <t>T</t>
  </si>
  <si>
    <t>Transmission plant included in ISO rates  (line 1 less lines 2 &amp; 3)</t>
  </si>
  <si>
    <t>219.20-24.c</t>
  </si>
  <si>
    <t>219.25.c</t>
  </si>
  <si>
    <t>219.26.c</t>
  </si>
  <si>
    <t>263.i</t>
  </si>
  <si>
    <t>201.3.d</t>
  </si>
  <si>
    <t>201.3.e</t>
  </si>
  <si>
    <t>(330.x.n)</t>
  </si>
  <si>
    <t>U</t>
  </si>
  <si>
    <t>Long Term Interest (117, sum of 62.c through 67.c)</t>
  </si>
  <si>
    <t>Proprietary Capital (112.16.c)</t>
  </si>
  <si>
    <t>Less Account 216.1 (112.12.c)  (enter negative)</t>
  </si>
  <si>
    <t xml:space="preserve">  Long Term Debt (112, sum of  18.c through 21.c)</t>
  </si>
  <si>
    <t>111.57.c</t>
  </si>
  <si>
    <t>207.58.g</t>
  </si>
  <si>
    <t>207.75.g</t>
  </si>
  <si>
    <t>1a</t>
  </si>
  <si>
    <t xml:space="preserve">  Account No. 456.1</t>
  </si>
  <si>
    <r>
      <t>Removes dollar amount of transmission expenses included in the OATT ancillary services rates, including Account Nos. 561.1, 561.2,</t>
    </r>
    <r>
      <rPr>
        <b/>
        <sz val="12"/>
        <rFont val="Times New Roman"/>
        <family val="1"/>
      </rPr>
      <t xml:space="preserve"> </t>
    </r>
    <r>
      <rPr>
        <sz val="12"/>
        <rFont val="Times New Roman"/>
        <family val="1"/>
      </rPr>
      <t xml:space="preserve"> 561.3, and 561.BA.</t>
    </r>
  </si>
  <si>
    <t>Account 456.1 entry shall be the annual total of the quarterly values reported at Form 1, 330.x.n.</t>
  </si>
  <si>
    <t>V</t>
  </si>
  <si>
    <t>205.46.g</t>
  </si>
  <si>
    <t>205.5.g &amp; 207.99.g</t>
  </si>
  <si>
    <t>321.112.b</t>
  </si>
  <si>
    <t>321.96.b</t>
  </si>
  <si>
    <t>323.197.b</t>
  </si>
  <si>
    <t>336.11.b</t>
  </si>
  <si>
    <t>354.20.b</t>
  </si>
  <si>
    <t>354.21.b</t>
  </si>
  <si>
    <t>354.23.b</t>
  </si>
  <si>
    <t>227.8.c &amp; .16.c</t>
  </si>
  <si>
    <t>36a</t>
  </si>
  <si>
    <t>W</t>
  </si>
  <si>
    <t>X</t>
  </si>
  <si>
    <t>REV. REQUIREMENT TO BE COLLECTED UNDER ATTACHMENT O</t>
  </si>
  <si>
    <t>included in Attachment GG]</t>
  </si>
  <si>
    <t xml:space="preserve">[Revenue Requirement for facilities included on page 2, line 2, and also  </t>
  </si>
  <si>
    <t xml:space="preserve">  [Rate Base (page 2, line 30) * Rate of Return (page 4, line 30)]</t>
  </si>
  <si>
    <t>References to data from FERC Form 1 are indicated as:   #.y.x  (page, line, column)</t>
  </si>
  <si>
    <t>General Note:   References to pages in this formulary rate are indicated as:  (page#, line#, col.#)</t>
  </si>
  <si>
    <t>(Note E)</t>
  </si>
  <si>
    <t xml:space="preserve">       where WCLTD=(page 4, line 27) and R= (page 4, line 30)</t>
  </si>
  <si>
    <t>FERC Annual Charge ($/MWh)</t>
  </si>
  <si>
    <t>(line 1- line 7)</t>
  </si>
  <si>
    <t>(line 2- line 8)</t>
  </si>
  <si>
    <t>(line 3 - line 9)</t>
  </si>
  <si>
    <t>(line 4 - line 10)</t>
  </si>
  <si>
    <t>(line 5 - line 11)</t>
  </si>
  <si>
    <t>ADJUSTMENTS TO RATE BASE  (Note F)</t>
  </si>
  <si>
    <t xml:space="preserve">  Less Contract Demand from Grandfathered Interzonal Transactions over one year (enter negative)  (Note S)</t>
  </si>
  <si>
    <t xml:space="preserve">     Less LSE Expenses included in Transmission O&amp;M Accounts  (Note V)</t>
  </si>
  <si>
    <t xml:space="preserve">     Plus Transmission Related Reg. Comm.  Exp.  (Note I)</t>
  </si>
  <si>
    <t>TAXES OTHER THAN INCOME TAXES  (Note J)</t>
  </si>
  <si>
    <t>(Note K)</t>
  </si>
  <si>
    <t>Less transmission plant excluded from ISO rates  (Note M)</t>
  </si>
  <si>
    <t>Total transmission plant  (page 2, line 2, column 3)</t>
  </si>
  <si>
    <t>Less transmission plant included in OATT Ancillary Services  (Note N )</t>
  </si>
  <si>
    <t>Percentage of transmission plant included in ISO Rates  (line 4 divided by line 1)</t>
  </si>
  <si>
    <t>Total transmission expenses  (page 3, line 1, column 3)</t>
  </si>
  <si>
    <t>Less transmission expenses included in OATT Ancillary Services  (Note L)</t>
  </si>
  <si>
    <t>Included transmission expenses  (line 6 less line 7)</t>
  </si>
  <si>
    <t>Percentage of transmission expenses after adjustment  (line 8 divided by line 6)</t>
  </si>
  <si>
    <t>Percentage of transmission plant included in ISO Rates  (line 5)</t>
  </si>
  <si>
    <t>Percentage of transmission expenses included in ISO Rates  (line 9 times line 10)</t>
  </si>
  <si>
    <t>354.24, 25, 26.b</t>
  </si>
  <si>
    <t>COMMON PLANT ALLOCATOR  (CE)  (Note O)</t>
  </si>
  <si>
    <t xml:space="preserve">  Preferred Stock  (112.3.c)</t>
  </si>
  <si>
    <t>ACCOUNT 454 (RENT FROM ELECTRIC PROPERTY)  (Note R)</t>
  </si>
  <si>
    <t>ACCOUNT 456.1 (OTHER ELECTRIC REVENUES)  (Note U)</t>
  </si>
  <si>
    <t>TOTAL WORKING CAPITAL  (sum lines 26 - 28)</t>
  </si>
  <si>
    <t>TOTAL NET PLANT  (sum lines 13-17)</t>
  </si>
  <si>
    <t>TOTAL GROSS PLANT  (sum lines 1-5)</t>
  </si>
  <si>
    <t>TOTAL ACCUM. DEPRECIATION  (sum lines 7-11)</t>
  </si>
  <si>
    <t>TOTAL DEPRECIATION  (sum lines 9 - 11)</t>
  </si>
  <si>
    <t>Rate Formula Template</t>
  </si>
  <si>
    <t>Utilizing FERC Form 1 Data</t>
  </si>
  <si>
    <t>Inputs Required:</t>
  </si>
  <si>
    <t>Cash Working Capital assigned to transmission is one-eighth of O&amp;M allocated to transmission at page 3, line 8, column 5.  Prepayments are the electric related prepayments booked to Account No. 165 and reported on Page 111, line 57 in the Form 1.</t>
  </si>
  <si>
    <t xml:space="preserve">Line 5 - EPRI Annual Membership Dues listed in Form 1 at 353.f, all Regulatory Commission Expenses itemized at 351.h, and non-safety related advertising included in Account 930.1.  Line 5a - Regulatory Commission Expenses directly related to transmission service, ISO filings, or transmission siting itemized at 351.h. </t>
  </si>
  <si>
    <t>The currently effective income tax rate,  where FIT is the Federal income tax rate; SIT is the State income tax rate, and p = "the percentage of federal income tax deductible  for state income taxes".  If the utility is taxed in more than one state it must attach a work paper showing the name of each state and how the blended or composite SIT was developed.  Furthermore, a utility that elected to utilize amortization of tax credits against taxable income, rather than book tax credits to Account No. 255 and reduce rate base, must reduce its income tax expense by the amount of the Amortized Investment Tax Credit (Form 1, 266.8.f) multiplied by (1/1-T) (page 3, line 26).</t>
  </si>
  <si>
    <t>Removes transmission plant determined by Commission order to be state-jurisdictional according to the seven-factor test (until Form 1 balances are adjusted to reflect application of seven-factor test).</t>
  </si>
  <si>
    <t>Line 33 must equal zero since all short-term power sales must be unbundled and the transmission component reflected in Account No. 456.1 and all other uses are to be included in the divisor.</t>
  </si>
  <si>
    <t>GROSS REVENUE REQUIREMENT  (page 3, line 31)</t>
  </si>
  <si>
    <t>(line 16 / 260; line 16 / 365)</t>
  </si>
  <si>
    <t>(line 16 / 4,160; line 16 / 8,760</t>
  </si>
  <si>
    <r>
      <t xml:space="preserve">Removes dollar amount of transmission plant included in the development of OATT ancillary services rates and generation step-up facilities, which are deemed </t>
    </r>
    <r>
      <rPr>
        <sz val="12"/>
        <rFont val="Times New Roman"/>
        <family val="1"/>
      </rPr>
      <t>included in OATT ancillary services.  For these purposes, generation step-up facilities are those facilities at a generator substation on which there is no through-flow when the generator is shut down.</t>
    </r>
  </si>
  <si>
    <t>TOTAL O&amp;M  (sum lines 1, 3, 5a, 6, 7 less lines 1a, 2, 4, 5)</t>
  </si>
  <si>
    <t>LESS ATTACHMENT GG ADJUSTMENT [Attachment GG, page 2, line 3, column 10]   (Note W)</t>
  </si>
  <si>
    <t>Grandfathered agreements whose rates have been changed to eliminate or mitigate pancaking - the revenues are included in line 4, page 1 and the loads are included in line 13, page 1.  Grandfathered agreements whose rates have not been changed to eliminate or mitigate pancaking - the revenues are not included in line 4, page 1 nor are the loads included in line 13, page 1.</t>
  </si>
  <si>
    <t>The revenues credited on page 1, lines 2-5 shall include only the amounts received directly (in the case of grandfathered agreements) or from the ISO (for service under this tariff) reflecting the Transmission Owner's integrated transmission facilities.  They do not include revenues associated with FERC annual charges, gross receipts taxes, ancillary services, facilities not included in this template (e.g., direct assignment facilities and GSUs) which are not recovered under this Rate Formula Template.</t>
  </si>
  <si>
    <t>Peak as would be reported on page 401, column d of Form 1 at the time of the applicable pricing zone coincident monthly peaks.</t>
  </si>
  <si>
    <t>Labeled LF, LU, IF, IU on pages 310-311 of Form 1at the time of the applicable pricing zone coincident monthly peaks.</t>
  </si>
  <si>
    <t>Labeled LF on page 328 of Form 1 at the time of the applicable pricing zone coincident monthly peaks.</t>
  </si>
  <si>
    <t>MidAmerican Energy Company</t>
  </si>
  <si>
    <t>Account 456 (Transmission of Electricity for Others)</t>
  </si>
  <si>
    <t>kW</t>
  </si>
  <si>
    <t>Network Integration Transmission Service</t>
  </si>
  <si>
    <t>Network</t>
  </si>
  <si>
    <t>12 CP</t>
  </si>
  <si>
    <t>Revenue</t>
  </si>
  <si>
    <t xml:space="preserve">Alliant (Coulter) </t>
  </si>
  <si>
    <t xml:space="preserve">Atlantic Municpal Utilities </t>
  </si>
  <si>
    <t xml:space="preserve">Cedar Falls, Iowa </t>
  </si>
  <si>
    <t xml:space="preserve">City of Breda, Iowa </t>
  </si>
  <si>
    <t xml:space="preserve">City of Buffalo, Iowa </t>
  </si>
  <si>
    <t xml:space="preserve">City of Carlisle, Iowa </t>
  </si>
  <si>
    <t xml:space="preserve">City of Denver, Iowa </t>
  </si>
  <si>
    <t xml:space="preserve">City of Fonda, Iowa </t>
  </si>
  <si>
    <t xml:space="preserve">City of Geneseo, Illinois </t>
  </si>
  <si>
    <t xml:space="preserve">City of Lake View, Iowa </t>
  </si>
  <si>
    <t xml:space="preserve">City of Montezuma, Iowa </t>
  </si>
  <si>
    <t xml:space="preserve">City of Sergeant Bluff, Iowa  </t>
  </si>
  <si>
    <t xml:space="preserve">City of Wall Lake, Iowa </t>
  </si>
  <si>
    <t xml:space="preserve">Central Iowa Power Cooperative </t>
  </si>
  <si>
    <t xml:space="preserve">Eldridge Municpal Utilities </t>
  </si>
  <si>
    <t xml:space="preserve">Indianola Municipal </t>
  </si>
  <si>
    <t xml:space="preserve">City of Pella, Iowa </t>
  </si>
  <si>
    <t xml:space="preserve">Corn Belt Power Coop (Hudson) </t>
  </si>
  <si>
    <t xml:space="preserve">Waverly, Iowa </t>
  </si>
  <si>
    <t>Net Transmission Revenues (Account 456)</t>
  </si>
  <si>
    <t>Account 454 (Transmission Rents)</t>
  </si>
  <si>
    <t>12CP</t>
  </si>
  <si>
    <t>ADJUST</t>
  </si>
  <si>
    <t>STATES BASED ON ONLY THEIR  SHARE OF COMPANY INCOME</t>
  </si>
  <si>
    <t>ALL STATE</t>
  </si>
  <si>
    <t>FEDERAL</t>
  </si>
  <si>
    <t>make sure iteration is turned ON</t>
  </si>
  <si>
    <t>TOTAL</t>
  </si>
  <si>
    <t>IOWA</t>
  </si>
  <si>
    <t>ILLINOIS</t>
  </si>
  <si>
    <t>NEB</t>
  </si>
  <si>
    <t>SUM OF</t>
  </si>
  <si>
    <t>COMPOSITE</t>
  </si>
  <si>
    <t>DEFERREDS</t>
  </si>
  <si>
    <t>COMPANY</t>
  </si>
  <si>
    <t>ONLY</t>
  </si>
  <si>
    <t>STATES</t>
  </si>
  <si>
    <t>RATE</t>
  </si>
  <si>
    <t>TO 35%</t>
  </si>
  <si>
    <t xml:space="preserve">1. Based on operating revenues excl interdepartmental sales for IA, SD, Neb.  Illinois on 3 factor from invest Capital Tax </t>
  </si>
  <si>
    <t>FEDERAL INCOME TAX:</t>
  </si>
  <si>
    <t xml:space="preserve">FEDERAL TAXABLE INCOME </t>
  </si>
  <si>
    <t>B/4 STATE TAXES</t>
  </si>
  <si>
    <t xml:space="preserve">   LESS: IOWA TAX</t>
  </si>
  <si>
    <t xml:space="preserve">             ILLINOIS TAX</t>
  </si>
  <si>
    <t xml:space="preserve">             NEBRASKA TAX</t>
  </si>
  <si>
    <t>FEDERAL TAXABLE INCOME</t>
  </si>
  <si>
    <t>FEDERAL TAX RATE</t>
  </si>
  <si>
    <t>FEDERAL INCOME TAX</t>
  </si>
  <si>
    <t>IOWA INCOME TAX:</t>
  </si>
  <si>
    <t>ADD BACK:  IOWA INCOME TAX</t>
  </si>
  <si>
    <t>SUBTRACT:  50% OF FEDERAL INC TAXES</t>
  </si>
  <si>
    <t>IA TAXABLE INCOME before APPORTIONMENT</t>
  </si>
  <si>
    <t>IOWA APPORTIONMENT FACTOR</t>
  </si>
  <si>
    <t>IOWA TAXABLE INCOME</t>
  </si>
  <si>
    <t>IOWA TAX RATE</t>
  </si>
  <si>
    <t>IOWA INCOME TAX</t>
  </si>
  <si>
    <t>ILLINOIS INCOME TAX:</t>
  </si>
  <si>
    <t>ADD BACK:  ILLINOIS INCOME TAX</t>
  </si>
  <si>
    <t>ILL TAXABLE INCOME before APPORTIONMENT</t>
  </si>
  <si>
    <t>ILL APPORTIONMENT FACTOR</t>
  </si>
  <si>
    <t>ILL TAXABLE INCOME</t>
  </si>
  <si>
    <t>ILL TAX RATE</t>
  </si>
  <si>
    <t>ILL INCOME TAX</t>
  </si>
  <si>
    <t>NEBRASKA INCOME TAX:</t>
  </si>
  <si>
    <t>N/A*</t>
  </si>
  <si>
    <t>NEB TAXABLE INCOME before APPORTIONMENT</t>
  </si>
  <si>
    <t>NEB APPORTIONMENT FACTOR</t>
  </si>
  <si>
    <t>NEB TAXABLE INCOME</t>
  </si>
  <si>
    <t>NEBRASKA TAX RATE</t>
  </si>
  <si>
    <t>NEB INCOME TAX</t>
  </si>
  <si>
    <t>*  ACCORDING TO NEBRASKA LAW, NEBRASKA INCOME TAX IS NOT REQUIRED TO BE</t>
  </si>
  <si>
    <t xml:space="preserve">    ADDED BACK TO FEDERAL TAXABLE INCOME FOR  CALCULATING NEBRASKA TAXABLE INCOME</t>
  </si>
  <si>
    <t>TOTAL COMPOSITE TAX RATE</t>
  </si>
  <si>
    <t xml:space="preserve">Source for apportionment % </t>
  </si>
  <si>
    <t>Combined state tax rates</t>
  </si>
  <si>
    <t>350.7.b</t>
  </si>
  <si>
    <t xml:space="preserve">     Less EPRI &amp; Reg. Comm. Exp. &amp; Non-safety  Ad.  (Note I)  353.1.f</t>
  </si>
  <si>
    <t>7a</t>
  </si>
  <si>
    <t>7b</t>
  </si>
  <si>
    <t>NITS Customer 1</t>
  </si>
  <si>
    <t>7c</t>
  </si>
  <si>
    <t>NITS Customer 2</t>
  </si>
  <si>
    <t>7d</t>
  </si>
  <si>
    <t>NITS Customer 3</t>
  </si>
  <si>
    <t>7e</t>
  </si>
  <si>
    <t>NITS Customer 4</t>
  </si>
  <si>
    <t>7f</t>
  </si>
  <si>
    <t>NITS Customer 5</t>
  </si>
  <si>
    <t>MidAmerican Adjusted Revenue Req.</t>
  </si>
  <si>
    <t>(NoteY)  (sum lines 7a - 7f)</t>
  </si>
  <si>
    <t>Y</t>
  </si>
  <si>
    <t>The sum of MidAmerican Energy Company's net revenue requirement and the individual revenue requirements of each Network Integration Transmission Service</t>
  </si>
  <si>
    <t>(NITS) customer which owns integrated transmission facilities within the MidAmerican pricing zone.  Customers 1 - 5 are indicative only, and additional customers</t>
  </si>
  <si>
    <t>may be added or deleted to the extent they are eligible to receive the Section 30.9 credit.  The revenue requirement for each NITS customer will be</t>
  </si>
  <si>
    <t>calculated based on the process described in the MidAmerican Network Customers Section 30.9 Credits Calculation Procedure set forth on Sheet 2758Z.03.</t>
  </si>
  <si>
    <t>Historic Year Actual ATRR</t>
  </si>
  <si>
    <t>Projected ATRR from Prior Year</t>
  </si>
  <si>
    <t>Import from Prior Year</t>
  </si>
  <si>
    <t>Prior Year ATRR True-Up</t>
  </si>
  <si>
    <t>(line 6a - line 6b)</t>
  </si>
  <si>
    <t>Prior Year Divisor True-Up</t>
  </si>
  <si>
    <t>Interest on Prior Year True-Up</t>
  </si>
  <si>
    <t>6a</t>
  </si>
  <si>
    <t>6b</t>
  </si>
  <si>
    <t>6c</t>
  </si>
  <si>
    <t>6d</t>
  </si>
  <si>
    <t>6e</t>
  </si>
  <si>
    <t>216.b</t>
  </si>
  <si>
    <t>18a</t>
  </si>
  <si>
    <t>Unamortized Balance of Abandoned Plant</t>
  </si>
  <si>
    <t>23a</t>
  </si>
  <si>
    <t>23b</t>
  </si>
  <si>
    <t>Midwest ISO (MEC Trans Rev Forecast) (Schedule 9)</t>
  </si>
  <si>
    <t>9a</t>
  </si>
  <si>
    <t>9b</t>
  </si>
  <si>
    <t>Abandoned Plant Amortization</t>
  </si>
  <si>
    <t>Plant Account Balances</t>
  </si>
  <si>
    <t>End of Month</t>
  </si>
  <si>
    <t>Production</t>
  </si>
  <si>
    <t>Distribution</t>
  </si>
  <si>
    <t>General &amp;</t>
  </si>
  <si>
    <t>Intangible</t>
  </si>
  <si>
    <t>13-Month Average</t>
  </si>
  <si>
    <t>(A)</t>
  </si>
  <si>
    <t>(B)</t>
  </si>
  <si>
    <t>(D)</t>
  </si>
  <si>
    <t>(E)</t>
  </si>
  <si>
    <t>(F)</t>
  </si>
  <si>
    <t>Analysis of Accumulated Depreciation</t>
  </si>
  <si>
    <t>(C)</t>
  </si>
  <si>
    <t>Net Prefunded AFUDC on CWIP Included in Rate Base</t>
  </si>
  <si>
    <t>Prefunded AFUDC Amortization</t>
  </si>
  <si>
    <t>Forecast Inventory Balances</t>
  </si>
  <si>
    <t>Total M&amp;S</t>
  </si>
  <si>
    <t>Material and Supplies</t>
  </si>
  <si>
    <t>Prepayments</t>
  </si>
  <si>
    <t>Monthly Change</t>
  </si>
  <si>
    <t>Prepaid Insurance</t>
  </si>
  <si>
    <t>and Interest</t>
  </si>
  <si>
    <t>FERC 165</t>
  </si>
  <si>
    <t>Depreciation Expense</t>
  </si>
  <si>
    <t>General</t>
  </si>
  <si>
    <t>Labor Ratios</t>
  </si>
  <si>
    <t>Function Labor</t>
  </si>
  <si>
    <t>Other:</t>
  </si>
  <si>
    <t>Total Other</t>
  </si>
  <si>
    <t>Portion of Total</t>
  </si>
  <si>
    <t xml:space="preserve">    Customer Accounts</t>
  </si>
  <si>
    <t xml:space="preserve">    Customer Services</t>
  </si>
  <si>
    <t>Common Equity</t>
  </si>
  <si>
    <t>Embedded Cost of Debt</t>
  </si>
  <si>
    <t>Long-Term Debt</t>
  </si>
  <si>
    <t>Interest Cost</t>
  </si>
  <si>
    <t>Total L-T Interest Cost</t>
  </si>
  <si>
    <t>Z</t>
  </si>
  <si>
    <t>Page 2 Line 23a includes the net prefunded AFUDC on CWIP included in rate base and Page 3 Line 9a includes the annual amortization of the prefunded AFUDC amounts</t>
  </si>
  <si>
    <t>Page 2 Line 23b includes any unamortized balances related to the recovery of abandoned plant costs approved by FERC under a separate docket</t>
  </si>
  <si>
    <t>Page 3 Line 9b includes the Amortization expense of abandonment costs included in transmission depreciation expense</t>
  </si>
  <si>
    <t>These are shown in the workpapers required pursuant to the Annual Rate Calculation and True-Up Procedures.</t>
  </si>
  <si>
    <t>AA</t>
  </si>
  <si>
    <t>Calculate using 13 month average balance reconciling to FERC Form No. 1 by page, line and column as shown in Column 2.</t>
  </si>
  <si>
    <t>BB</t>
  </si>
  <si>
    <t>CC</t>
  </si>
  <si>
    <t>Calculation of Prior Year Divisor True-Up</t>
  </si>
  <si>
    <t>Pg 1. Line 15</t>
  </si>
  <si>
    <t xml:space="preserve">    Difference between Historic and Projected Yr Divisor</t>
  </si>
  <si>
    <t xml:space="preserve">    Projected Year Divisor</t>
  </si>
  <si>
    <t xml:space="preserve">    Historic Year Actual Divsor</t>
  </si>
  <si>
    <t xml:space="preserve">    Prior Year Projected Annual Cost ($ per kW per year)</t>
  </si>
  <si>
    <t>Pg 1. Line 16</t>
  </si>
  <si>
    <t xml:space="preserve">    Projected Year Divisor True-up (Difference * Prior Year Projected Annual Cost)</t>
  </si>
  <si>
    <t>page 1 of 6</t>
  </si>
  <si>
    <t>page 2 of 6</t>
  </si>
  <si>
    <t>page 3 of 6</t>
  </si>
  <si>
    <t>page 4 of 6</t>
  </si>
  <si>
    <t>page 5 of 6</t>
  </si>
  <si>
    <t>page 6 of 6</t>
  </si>
  <si>
    <t>CWIP 13-Month Average</t>
  </si>
  <si>
    <t>Project 1</t>
  </si>
  <si>
    <t>Project 2</t>
  </si>
  <si>
    <t xml:space="preserve">Pending </t>
  </si>
  <si>
    <t xml:space="preserve">Pending  </t>
  </si>
  <si>
    <t>Net Prefunded AFUDC on CWIP</t>
  </si>
  <si>
    <t>Month</t>
  </si>
  <si>
    <t>System Peak</t>
  </si>
  <si>
    <t>for RQ Service</t>
  </si>
  <si>
    <t>Firm PTP</t>
  </si>
  <si>
    <t>&gt; 1 year</t>
  </si>
  <si>
    <t>Plus:</t>
  </si>
  <si>
    <t xml:space="preserve">Contract </t>
  </si>
  <si>
    <t xml:space="preserve">Demand of </t>
  </si>
  <si>
    <t>Less:</t>
  </si>
  <si>
    <t xml:space="preserve">Grandfathered </t>
  </si>
  <si>
    <t>Interzonal</t>
  </si>
  <si>
    <t>Tran. &gt; 1 yr</t>
  </si>
  <si>
    <t>Serv. To ISO</t>
  </si>
  <si>
    <t>at a Discount</t>
  </si>
  <si>
    <t>Firm Sales</t>
  </si>
  <si>
    <t>Divisor</t>
  </si>
  <si>
    <t>(G)</t>
  </si>
  <si>
    <t>(H)</t>
  </si>
  <si>
    <t>(line 1 minus line 6 plus line 6c through 6e)</t>
  </si>
  <si>
    <t>DD</t>
  </si>
  <si>
    <t>EE</t>
  </si>
  <si>
    <t>30a</t>
  </si>
  <si>
    <t>included in Attachment MM]</t>
  </si>
  <si>
    <t>36b</t>
  </si>
  <si>
    <t xml:space="preserve">  Total of (a)-(b)-(c)-(d)</t>
  </si>
  <si>
    <t>(Transmission Owner)</t>
  </si>
  <si>
    <t>Operation and Maintenance Expenses</t>
  </si>
  <si>
    <t>Monthly Expense</t>
  </si>
  <si>
    <t>Administrative and General Expenses</t>
  </si>
  <si>
    <t>219.28.c &amp; 200.21</t>
  </si>
  <si>
    <t>O&amp;M  (Note CC)</t>
  </si>
  <si>
    <t xml:space="preserve">  General &amp; Intangible </t>
  </si>
  <si>
    <t>Includes only FICA, unemployment, highway, property, gross receipts, and other assessments charged in the current year.  Taxes related to income are excluded.  Gross receipts taxes are not included in transmission revenue requirement in the Rate Formula Template, since they are recovered elsewhere. Payroll Taxes should only be included in line 13 and should not be included in A&amp;G.</t>
  </si>
  <si>
    <t xml:space="preserve">Account Nos. 561.4 and 561.8 consist of RTO expenses billed to load-serving entities and are not included in Transmission Owner revenue requirements.  </t>
  </si>
  <si>
    <t>Plant in Service, Accumulated Depreciation, and Depreciation Expense amounts exclude Asset Retirement Obligation amounts unless authorized by FERC.</t>
  </si>
  <si>
    <t>FF</t>
  </si>
  <si>
    <t>GG</t>
  </si>
  <si>
    <t>(Note GG)</t>
  </si>
  <si>
    <t>GROSS PLANT IN SERVICE     (Note BB and Note EE)</t>
  </si>
  <si>
    <t>ACCUMULATED DEPRECIATION   (Note BB and Note EE)</t>
  </si>
  <si>
    <t>NET PLANT IN SERVICE    (Note EE)</t>
  </si>
  <si>
    <t>CWIP for Certificate of Need Projects (Note EE)</t>
  </si>
  <si>
    <t>(Note DD, Note EE )</t>
  </si>
  <si>
    <t xml:space="preserve">  Materials &amp; Supplies  (Note G, Note EE)</t>
  </si>
  <si>
    <t xml:space="preserve">  Prepayments (Account 165, Note EE)</t>
  </si>
  <si>
    <t>(Note DD)</t>
  </si>
  <si>
    <t>DEPRECIATION AND AMORTIZATION EXPENSE (Note BB)</t>
  </si>
  <si>
    <t>267.8.h        (Note FF)</t>
  </si>
  <si>
    <t xml:space="preserve">  Account No. 255 (enter negative)      </t>
  </si>
  <si>
    <t>Taxes Other Than Income Taxes</t>
  </si>
  <si>
    <t>Payroll</t>
  </si>
  <si>
    <t>Highway and Vehicle</t>
  </si>
  <si>
    <t>Property</t>
  </si>
  <si>
    <t>Gross Receipts</t>
  </si>
  <si>
    <t>Other</t>
  </si>
  <si>
    <t>Payments in Lieu of Taxes</t>
  </si>
  <si>
    <t>TOTAL ADJUSTMENTS  (sum lines 19 - 23b)</t>
  </si>
  <si>
    <t>RATE BASE  (sum lines 18, 18a, 24, 25, &amp; 29)</t>
  </si>
  <si>
    <t>Amortized Investment Tax Credit</t>
  </si>
  <si>
    <t>Investment Tax Credit</t>
  </si>
  <si>
    <t>Account 561</t>
  </si>
  <si>
    <t>Gas</t>
  </si>
  <si>
    <t>Preferred Stock</t>
  </si>
  <si>
    <t>Preferred Stock Dividend</t>
  </si>
  <si>
    <t>336.10.f &amp; 336.1.f</t>
  </si>
  <si>
    <t>For FAS 109</t>
  </si>
  <si>
    <t>incl w Iowa</t>
  </si>
  <si>
    <t>W:\INC\2010\Utility - MEC\state apportionment / _SalesApportionment_2010.xls</t>
  </si>
  <si>
    <t>(line 29 - line 30 - line 30a)</t>
  </si>
  <si>
    <t>Account 565</t>
  </si>
  <si>
    <t>EPRI Expenses</t>
  </si>
  <si>
    <t>FERC Annual Fees</t>
  </si>
  <si>
    <t>FERC Annual Fees and EPRI Expenses</t>
  </si>
  <si>
    <t>FERC Fees and EPRI Expenses</t>
  </si>
  <si>
    <t>Account 216.1</t>
  </si>
  <si>
    <t>Unappropriated Undistributed Subsidiary Earnings</t>
  </si>
  <si>
    <t>MISSOURI</t>
  </si>
  <si>
    <t>MICHIGAN</t>
  </si>
  <si>
    <t>apportion %</t>
  </si>
  <si>
    <t xml:space="preserve"> apportion %</t>
  </si>
  <si>
    <t xml:space="preserve">             MISSOURI TAX</t>
  </si>
  <si>
    <t xml:space="preserve">             MICHIGAN TAX</t>
  </si>
  <si>
    <t xml:space="preserve">             BLENDED TAX</t>
  </si>
  <si>
    <t>MISSOURI INCOME TAX:</t>
  </si>
  <si>
    <t>ADD BACK:  STATE INCOME TAX</t>
  </si>
  <si>
    <t>MO TAXABLE INCOME before APPORTIONMENT</t>
  </si>
  <si>
    <t>MO APPORTIONMENT FACTOR</t>
  </si>
  <si>
    <t>MO TAXABLE INCOME</t>
  </si>
  <si>
    <t>MISSOURI TAX RATE</t>
  </si>
  <si>
    <t>MO INCOME TAX</t>
  </si>
  <si>
    <t xml:space="preserve">ADD BACK:  STATE INCOME TAX </t>
  </si>
  <si>
    <t>MICHIGAN INCOME TAX:</t>
  </si>
  <si>
    <t xml:space="preserve">ADD BACK:  MICHIGAN INCOME TAX </t>
  </si>
  <si>
    <t>MI TAXABLE INCOME before APPORTIONMENT</t>
  </si>
  <si>
    <t>MI APPORTIONMENT FACTOR</t>
  </si>
  <si>
    <t>MI TAXABLE INCOME</t>
  </si>
  <si>
    <t>MICHIGAN TAX RATE</t>
  </si>
  <si>
    <t>MI INCOME TAX</t>
  </si>
  <si>
    <t>Anything not IL, SD or Neb is included as Iowa</t>
  </si>
  <si>
    <t>Line No.</t>
  </si>
  <si>
    <t>I.</t>
  </si>
  <si>
    <t>Annual Transmission Revenue Requirement True-Up</t>
  </si>
  <si>
    <t xml:space="preserve">Historic Year Actual ATRR </t>
  </si>
  <si>
    <t>Historic Year Projected ATRR</t>
  </si>
  <si>
    <t xml:space="preserve">Historic Year ATRR True-Up  </t>
  </si>
  <si>
    <t>(Line 1 - Line 2)</t>
  </si>
  <si>
    <t>II.</t>
  </si>
  <si>
    <t>Divisor True-Up</t>
  </si>
  <si>
    <t>Historic Year Actual Divisor</t>
  </si>
  <si>
    <t>Historic Year Projected Divisor</t>
  </si>
  <si>
    <t xml:space="preserve">Difference in Divisor  </t>
  </si>
  <si>
    <t>(Line 5 - Line 4)</t>
  </si>
  <si>
    <t>Historic Year Projected Annual Cost ($/kW/Yr)</t>
  </si>
  <si>
    <t xml:space="preserve">Historic Year Divisor True-Up  </t>
  </si>
  <si>
    <t>(Line 6 X Line 7)</t>
  </si>
  <si>
    <t>III.</t>
  </si>
  <si>
    <t>Summary</t>
  </si>
  <si>
    <t xml:space="preserve">ATRR True-Up (Line 3)  </t>
  </si>
  <si>
    <t xml:space="preserve">Divisor True-Up (Line 8)  </t>
  </si>
  <si>
    <t>(Line 9 + Line 10)</t>
  </si>
  <si>
    <t>Interest on Historic Year True-Up</t>
  </si>
  <si>
    <t>(Line 11 X Line 12 X 24 months)</t>
  </si>
  <si>
    <t xml:space="preserve">True-Up Principal and Interest (Over)Under Collected  </t>
  </si>
  <si>
    <t>(Line 11 + Line 13)</t>
  </si>
  <si>
    <t>Average</t>
  </si>
  <si>
    <t>Project P3213</t>
  </si>
  <si>
    <t>Project P3205</t>
  </si>
  <si>
    <t>Attachment O - Footnote K</t>
  </si>
  <si>
    <t>Tax Percentages</t>
  </si>
  <si>
    <t>Federal Income Tax Deduction for State Income Tax Calculation</t>
  </si>
  <si>
    <t>Federal Income Taxes before State Income Tax Deduction</t>
  </si>
  <si>
    <t>(Line 3 / Line 4)</t>
  </si>
  <si>
    <r>
      <t xml:space="preserve">* Data used for calculations is from Tax Tab of workbook. The data cells used are highlighted in </t>
    </r>
    <r>
      <rPr>
        <sz val="12"/>
        <rFont val="Arial MT"/>
      </rPr>
      <t>yellow.</t>
    </r>
  </si>
  <si>
    <t>MVP 16</t>
  </si>
  <si>
    <t>Project P3022</t>
  </si>
  <si>
    <t xml:space="preserve">MVP 4 </t>
  </si>
  <si>
    <t xml:space="preserve">MVP 3 </t>
  </si>
  <si>
    <t>Attachment O-MEC</t>
  </si>
  <si>
    <t>LESS ATTACHMENT MM ADJUSTMENT [Attachment MM, page 2, line 3, column 14]   (Note Z)</t>
  </si>
  <si>
    <t xml:space="preserve">  c. Transmission charges from Schedules associated with Attachment GG  (Note X)</t>
  </si>
  <si>
    <t xml:space="preserve">  d. Transmission charges from Schedules associated with Attachment MM (Note AA)</t>
  </si>
  <si>
    <t>Pursuant to Attachment GG of the Midwest ISO Tariff, removes dollar amount of revenue requirements calculated pursuant to Attachment GG.</t>
  </si>
  <si>
    <t xml:space="preserve">Removes from revenue credits revenues that are distributed pursuant to Schedules associated with Attachment GG of the Midwest ISO Tariff, since the Transmission Owner's Attachment O revenue requirements have already been reduced by the Attachment GG revenue requirements.  </t>
  </si>
  <si>
    <t>Pursuant to Attachment MM of the Midwest ISO Tariff, removes dollar amount of revenue requirements calculated pursuant to Attachment MM.</t>
  </si>
  <si>
    <t xml:space="preserve">Removes from revenue credits that are distributed pursuant to Schedules associated with Attachment MM of the Midwest ISO Tariff, since the Transmission Owner's </t>
  </si>
  <si>
    <t>Schedule 10-FERC charges should not be included in O&amp;M.</t>
  </si>
  <si>
    <t>Total Schedule 9 Transmission Revenue</t>
  </si>
  <si>
    <t>Total Schedule 26 Transmission Revenue</t>
  </si>
  <si>
    <t>Total Schedule 26-A Transmission Revenue</t>
  </si>
  <si>
    <t xml:space="preserve">ER15-358 - TEMPLATE LANGUAGE ACCEPTED EFFECTIVE JANUARY 6, 2015 SUBJECT TO REFUND AND OUTCOME OF COMPLAINT PROCEEDINGS </t>
  </si>
  <si>
    <r>
      <t xml:space="preserve">Debt cost rate = long-term interest (line 21) / long term debt (line 27).  Preferred cost rate = preferred dividends (line 22) / preferred outstanding (line 28).   ROE will be supported in the original filing and no change in ROE may be made absent a filing with FERC.  </t>
    </r>
    <r>
      <rPr>
        <sz val="12"/>
        <color rgb="FFFF0000"/>
        <rFont val="Times New Roman"/>
        <family val="1"/>
      </rPr>
      <t xml:space="preserve">A 50 basis point adder for RTO participation may be added to the ROE up to the upper end of the zone of reasonableness established by FERC. </t>
    </r>
  </si>
  <si>
    <t>Attachment O revenue requirements have already been reduced by the Attachment M revenue requirements.</t>
  </si>
  <si>
    <t>Budget 2016</t>
  </si>
  <si>
    <t>Ames, Iowa</t>
  </si>
  <si>
    <t>Total (Sum of Lines 2 through 23)</t>
  </si>
  <si>
    <t>(Line 24)</t>
  </si>
  <si>
    <t>(Line 1 - Line 25 - Line 26 - Line 27)</t>
  </si>
  <si>
    <t>ADIT Summary Worksheet</t>
  </si>
  <si>
    <t>Page 1 of 1</t>
  </si>
  <si>
    <t>ADIT for the Projection</t>
  </si>
  <si>
    <t>(a)</t>
  </si>
  <si>
    <t>(b)</t>
  </si>
  <si>
    <t>(c)</t>
  </si>
  <si>
    <t>(d)</t>
  </si>
  <si>
    <t>(e)</t>
  </si>
  <si>
    <t>(f)</t>
  </si>
  <si>
    <t>(g)</t>
  </si>
  <si>
    <t>(h)</t>
  </si>
  <si>
    <t>(i)</t>
  </si>
  <si>
    <t>(j)</t>
  </si>
  <si>
    <t>(k)</t>
  </si>
  <si>
    <t>(l)</t>
  </si>
  <si>
    <t>Beginning</t>
  </si>
  <si>
    <t>Weighting</t>
  </si>
  <si>
    <t>100% Allocator</t>
  </si>
  <si>
    <t>Plant</t>
  </si>
  <si>
    <t>NP Allocator</t>
  </si>
  <si>
    <t>Labor</t>
  </si>
  <si>
    <t>S/W Allocator</t>
  </si>
  <si>
    <t xml:space="preserve">Total </t>
  </si>
  <si>
    <t>Balance &amp;</t>
  </si>
  <si>
    <t xml:space="preserve"> for Projection</t>
  </si>
  <si>
    <t>(f) x Allocator</t>
  </si>
  <si>
    <t xml:space="preserve"> Related</t>
  </si>
  <si>
    <t>(h) x Allocator</t>
  </si>
  <si>
    <t>Related</t>
  </si>
  <si>
    <t>(j) x Allocator</t>
  </si>
  <si>
    <t>ADIT</t>
  </si>
  <si>
    <t>Monthly</t>
  </si>
  <si>
    <t>(d) x [(g)+(i)+(k)]</t>
  </si>
  <si>
    <t>Changes</t>
  </si>
  <si>
    <t xml:space="preserve">From Attach O </t>
  </si>
  <si>
    <t>ADIT- 282</t>
  </si>
  <si>
    <t>Page 2, Line 18</t>
  </si>
  <si>
    <t>Page 4, Line 16</t>
  </si>
  <si>
    <t>Balance</t>
  </si>
  <si>
    <t xml:space="preserve">December </t>
  </si>
  <si>
    <t>Increment</t>
  </si>
  <si>
    <t>January</t>
  </si>
  <si>
    <t>February</t>
  </si>
  <si>
    <t>March</t>
  </si>
  <si>
    <t>April</t>
  </si>
  <si>
    <t>May</t>
  </si>
  <si>
    <t>June</t>
  </si>
  <si>
    <t>July</t>
  </si>
  <si>
    <t>August</t>
  </si>
  <si>
    <t>September</t>
  </si>
  <si>
    <t>October</t>
  </si>
  <si>
    <t>November</t>
  </si>
  <si>
    <t xml:space="preserve">Sum Ties to December </t>
  </si>
  <si>
    <t>Total Account 282</t>
  </si>
  <si>
    <t>ADIT-283</t>
  </si>
  <si>
    <t>ADIT-281</t>
  </si>
  <si>
    <t>ADIT-190</t>
  </si>
  <si>
    <t>Total ADIT (to be entered on Attachment O, Page 2, Line 19)</t>
  </si>
  <si>
    <t xml:space="preserve">ADIT Worksheet for Projection </t>
  </si>
  <si>
    <t xml:space="preserve">For Projection </t>
  </si>
  <si>
    <t>(Note F)</t>
  </si>
  <si>
    <t>Reserved</t>
  </si>
  <si>
    <t>The balances in Accounts 190, 281, 282 and 283, as adjusted by any amounts in contra accounts identified as regulatory assets or liabilities related to FASB 106 or 109.  Balance of Account 255 is reduced by prior flow throughs and excluded if the utility chose to utilize amortization of tax credits against taxable income as discussed in Note K.  Account 281 is not allocated.  The calculation of ADIT in the annual true-up calculation will use the beginning-of-year and end-of-year balances as set forth in the ADIT worksheets; the calculation of ADIT in the annual projection will be performed  in accordance with IRS regulation Section 1.167(l)-1(h)(6).  The Annual True-Up or projected net revenue requirement ADIT worksheets set forth the calculation pursuant to IRS regulation Section 1.167(l)-1(h)(6).</t>
  </si>
  <si>
    <t>The Account 255 Balances are calculated using a simple average of beginning of year and end of year balances</t>
  </si>
  <si>
    <t>Estimated - For the 12 months ended 12/31/17</t>
  </si>
  <si>
    <t>For the 13 Months Ended December 31, 2017</t>
  </si>
  <si>
    <t>Budget Year Ending December 31, 2017</t>
  </si>
  <si>
    <t>Budget Year 2017</t>
  </si>
  <si>
    <t>2017 - Estimated</t>
  </si>
  <si>
    <t>Transmission of Electricity for Others (2017 MidAmerican Transmission Revenue Forecast)</t>
  </si>
  <si>
    <t>2017 MidAmerican Transmission Revenue Forecast</t>
  </si>
  <si>
    <t>Composite Income Tax Rate 2016</t>
  </si>
  <si>
    <t>KANSAS</t>
  </si>
  <si>
    <t>KANSAS INCOME TAX:</t>
  </si>
  <si>
    <t xml:space="preserve">ADD BACK:  KANSAS INCOME TAX </t>
  </si>
  <si>
    <t>KS TAXABLE INCOME before APPORTIONMENT</t>
  </si>
  <si>
    <t>KS APPORTIONMENT FACTOR</t>
  </si>
  <si>
    <t>KS TAXABLE INCOME</t>
  </si>
  <si>
    <t>KANSAS TAX RATE</t>
  </si>
  <si>
    <t>KANSAS INCOME TAX</t>
  </si>
  <si>
    <t>2015 Attachment O True-up Adjustment</t>
  </si>
  <si>
    <t>For the Year Ended December 31, 2015</t>
  </si>
  <si>
    <t xml:space="preserve">Total Principal 2015 True-Up  </t>
  </si>
  <si>
    <t>FERC Interest Rate</t>
  </si>
  <si>
    <t xml:space="preserve">Interest for 24 Months (Jan'15 - Dec '16)  </t>
  </si>
  <si>
    <t>Short Term Interest Rate</t>
  </si>
  <si>
    <t xml:space="preserve">Heartland (Auburn) </t>
  </si>
  <si>
    <t>12 Months Ending December 31, 2017</t>
  </si>
  <si>
    <t>Plant Account Balances - ARO</t>
  </si>
  <si>
    <t>Analysis of Accumulated Depreciation - ARO</t>
  </si>
  <si>
    <t>MVP 7</t>
  </si>
  <si>
    <t>2a</t>
  </si>
  <si>
    <t>Production - ARO</t>
  </si>
  <si>
    <t>Transmission - ARO</t>
  </si>
  <si>
    <t>Project P2248</t>
  </si>
  <si>
    <t>MidAmerican Energy Company Attachment 1-1f</t>
  </si>
</sst>
</file>

<file path=xl/styles.xml><?xml version="1.0" encoding="utf-8"?>
<styleSheet xmlns="http://schemas.openxmlformats.org/spreadsheetml/2006/main" xmlns:mc="http://schemas.openxmlformats.org/markup-compatibility/2006" xmlns:x14ac="http://schemas.microsoft.com/office/spreadsheetml/2009/9/ac" mc:Ignorable="x14ac">
  <numFmts count="8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quot;$&quot;#,##0.000"/>
    <numFmt numFmtId="173" formatCode="&quot;$&quot;#,##0.00"/>
    <numFmt numFmtId="174" formatCode="_(* #,##0_);_(* \(#,##0\);_(* &quot;-&quot;??_);_(@_)"/>
    <numFmt numFmtId="175" formatCode="_(&quot;$&quot;* #,##0_);_(&quot;$&quot;* \(#,##0\);_(&quot;$&quot;* &quot;-&quot;??_);_(@_)"/>
    <numFmt numFmtId="176" formatCode="0_);\(0\)"/>
    <numFmt numFmtId="177" formatCode="[$-409]mmm\-yy;@"/>
    <numFmt numFmtId="178" formatCode="dd\-mmm\-yy_)"/>
    <numFmt numFmtId="179" formatCode="0.0000%"/>
    <numFmt numFmtId="180" formatCode="[$-409]mmmm\-yy;@"/>
    <numFmt numFmtId="181" formatCode="0.000"/>
    <numFmt numFmtId="182" formatCode="#,##0;\-#,##0;&quot;-&quot;"/>
    <numFmt numFmtId="183" formatCode="[$-409]mmmm\ d\,\ yyyy;@"/>
    <numFmt numFmtId="184" formatCode="#,##0.00&quot;£&quot;_);\(#,##0.00&quot;£&quot;\)"/>
    <numFmt numFmtId="185" formatCode="mm/dd/yy"/>
    <numFmt numFmtId="186" formatCode="_(&quot;$&quot;* #,##0.0000_);_(&quot;$&quot;* \(#,##0.0000\);_(&quot;$&quot;* &quot;-&quot;??_);_(@_)"/>
    <numFmt numFmtId="187" formatCode="0.00000%"/>
    <numFmt numFmtId="188" formatCode="_(* #,##0.0000_);_(* \(#,##0.0000\);_(* &quot;-&quot;??_);_(@_)"/>
    <numFmt numFmtId="189" formatCode="0.0%_);\(0.0%\)"/>
    <numFmt numFmtId="190" formatCode="\•\ \ @"/>
    <numFmt numFmtId="191" formatCode="#,##0,_);\(#,##0,\)"/>
    <numFmt numFmtId="192" formatCode="#,##0.0_);\(#,##0.0\)"/>
    <numFmt numFmtId="193" formatCode="0.0,_);\(0.0,\)"/>
    <numFmt numFmtId="194" formatCode="0.00,_);\(0.00,\)"/>
    <numFmt numFmtId="195" formatCode="#,##0.000_);\(#,##0.000\)"/>
    <numFmt numFmtId="196" formatCode="_._.* #,##0.0_)_%;_._.* \(#,##0.0\)_%;_._.* \ ?_)_%"/>
    <numFmt numFmtId="197" formatCode="_._.* #,##0.00_)_%;_._.* \(#,##0.00\)_%;_._.* \ ?_)_%"/>
    <numFmt numFmtId="198" formatCode="_._.* #,##0.000_)_%;_._.* \(#,##0.000\)_%;_._.* \ ?_)_%"/>
    <numFmt numFmtId="199" formatCode="_._.* #,##0.0000_)_%;_._.* \(#,##0.0000\)_%;_._.* \ ?_)_%"/>
    <numFmt numFmtId="200" formatCode="_._.&quot;$&quot;* #,##0.0_)_%;_._.&quot;$&quot;* \(#,##0.0\)_%;_._.&quot;$&quot;* \ ?_)_%"/>
    <numFmt numFmtId="201" formatCode="_._.&quot;$&quot;* #,##0.00_)_%;_._.&quot;$&quot;* \(#,##0.00\)_%;_._.&quot;$&quot;* \ ?_)_%"/>
    <numFmt numFmtId="202" formatCode="_._.&quot;$&quot;* #,##0.000_)_%;_._.&quot;$&quot;* \(#,##0.000\)_%;_._.&quot;$&quot;* \ ?_)_%"/>
    <numFmt numFmtId="203" formatCode="_._.&quot;$&quot;* #,##0.0000_)_%;_._.&quot;$&quot;* \(#,##0.0000\)_%;_._.&quot;$&quot;* \ ?_)_%"/>
    <numFmt numFmtId="204" formatCode="&quot;$&quot;#,##0,_);\(&quot;$&quot;#,##0,\)"/>
    <numFmt numFmtId="205" formatCode="&quot;$&quot;#,##0.0_);\(&quot;$&quot;#,##0.0\)"/>
    <numFmt numFmtId="206" formatCode="&quot;$&quot;0.0,_);\(&quot;$&quot;0.0,\)"/>
    <numFmt numFmtId="207" formatCode="&quot;$&quot;0.00,_);\(&quot;$&quot;0.00,\)"/>
    <numFmt numFmtId="208" formatCode="&quot;$&quot;#,##0.000_);\(&quot;$&quot;#,##0.000\)"/>
    <numFmt numFmtId="209" formatCode="#,##0.0\x_);\(#,##0.0\x\)"/>
    <numFmt numFmtId="210" formatCode="#,##0.00\x_);\(#,##0.00\x\)"/>
    <numFmt numFmtId="211" formatCode="[$€-2]\ #,##0_);\([$€-2]\ #,##0\)"/>
    <numFmt numFmtId="212" formatCode="[$€-2]\ #,##0.0_);\([$€-2]\ #,##0.0\)"/>
    <numFmt numFmtId="213" formatCode="_([$€-2]* #,##0.00_);_([$€-2]* \(#,##0.00\);_([$€-2]* &quot;-&quot;??_)"/>
    <numFmt numFmtId="214" formatCode="#,##0\x;\(#,##0\x\)"/>
    <numFmt numFmtId="215" formatCode="0.0\x;\(0.0\x\)"/>
    <numFmt numFmtId="216" formatCode="#,##0.00\x;\(#,##0.00\x\)"/>
    <numFmt numFmtId="217" formatCode="#,##0.000\x;\(#,##0.000\x\)"/>
    <numFmt numFmtId="218" formatCode="0.0_);\(0.0\)"/>
    <numFmt numFmtId="219" formatCode="0%;\(0%\)"/>
    <numFmt numFmtId="220" formatCode="0.0%;\(0.0%\)"/>
    <numFmt numFmtId="221" formatCode="0.00%_);\(0.00%\)"/>
    <numFmt numFmtId="222" formatCode="0.000%_);\(0.000%\)"/>
    <numFmt numFmtId="223" formatCode="_(0_)%;\(0\)%;\ \ ?_)%"/>
    <numFmt numFmtId="224" formatCode="_._._(* 0_)%;_._.* \(0\)%;_._._(* \ ?_)%"/>
    <numFmt numFmtId="225" formatCode="0%_);\(0%\)"/>
    <numFmt numFmtId="226" formatCode="_(0.0_)%;\(0.0\)%;\ \ ?_)%"/>
    <numFmt numFmtId="227" formatCode="_._._(* 0.0_)%;_._.* \(0.0\)%;_._._(* \ ?_)%"/>
    <numFmt numFmtId="228" formatCode="_(0.00_)%;\(0.00\)%;\ \ ?_)%"/>
    <numFmt numFmtId="229" formatCode="_._._(* 0.00_)%;_._.* \(0.00\)%;_._._(* \ ?_)%"/>
    <numFmt numFmtId="230" formatCode="_(0.000_)%;\(0.000\)%;\ \ ?_)%"/>
    <numFmt numFmtId="231" formatCode="_._._(* 0.000_)%;_._.* \(0.000\)%;_._._(* \ ?_)%"/>
    <numFmt numFmtId="232" formatCode="_(0.0000_)%;\(0.0000\)%;\ \ ?_)%"/>
    <numFmt numFmtId="233" formatCode="_._._(* 0.0000_)%;_._.* \(0.0000\)%;_._._(* \ ?_)%"/>
    <numFmt numFmtId="234" formatCode="0.0%"/>
    <numFmt numFmtId="235" formatCode="_(* #,##0_);_(* \(#,##0\);_(* \ ?_)"/>
    <numFmt numFmtId="236" formatCode="_(* #,##0.0_);_(* \(#,##0.0\);_(* \ ?_)"/>
    <numFmt numFmtId="237" formatCode="_(* #,##0.00_);_(* \(#,##0.00\);_(* \ ?_)"/>
    <numFmt numFmtId="238" formatCode="_(* #,##0.000_);_(* \(#,##0.000\);_(* \ ?_)"/>
    <numFmt numFmtId="239" formatCode="_(&quot;$&quot;* #,##0_);_(&quot;$&quot;* \(#,##0\);_(&quot;$&quot;* \ ?_)"/>
    <numFmt numFmtId="240" formatCode="_(&quot;$&quot;* #,##0.0_);_(&quot;$&quot;* \(#,##0.0\);_(&quot;$&quot;* \ ?_)"/>
    <numFmt numFmtId="241" formatCode="_(&quot;$&quot;* #,##0.00_);_(&quot;$&quot;* \(#,##0.00\);_(&quot;$&quot;* \ ?_)"/>
    <numFmt numFmtId="242" formatCode="_(&quot;$&quot;* #,##0.000_);_(&quot;$&quot;* \(#,##0.000\);_(&quot;$&quot;* \ ?_)"/>
    <numFmt numFmtId="243" formatCode="0000&quot;A&quot;"/>
    <numFmt numFmtId="244" formatCode="0&quot;E&quot;"/>
    <numFmt numFmtId="245" formatCode="0000&quot;E&quot;"/>
  </numFmts>
  <fonts count="111">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color indexed="10"/>
      <name val="Times New Roman"/>
      <family val="1"/>
    </font>
    <font>
      <strike/>
      <sz val="12"/>
      <color indexed="10"/>
      <name val="Times New Roman"/>
      <family val="1"/>
    </font>
    <font>
      <strike/>
      <sz val="12"/>
      <name val="Times New Roman"/>
      <family val="1"/>
    </font>
    <font>
      <b/>
      <sz val="12"/>
      <color indexed="48"/>
      <name val="Times New Roman"/>
      <family val="1"/>
    </font>
    <font>
      <sz val="10"/>
      <name val="Arial"/>
      <family val="2"/>
    </font>
    <font>
      <sz val="12"/>
      <color indexed="17"/>
      <name val="Arial MT"/>
    </font>
    <font>
      <strike/>
      <sz val="12"/>
      <color indexed="53"/>
      <name val="Arial MT"/>
    </font>
    <font>
      <u/>
      <sz val="12"/>
      <color indexed="17"/>
      <name val="Arial MT"/>
    </font>
    <font>
      <sz val="12"/>
      <name val="Arial MT"/>
    </font>
    <font>
      <b/>
      <sz val="12"/>
      <name val="Arial"/>
      <family val="2"/>
    </font>
    <font>
      <sz val="12"/>
      <name val="Arial"/>
      <family val="2"/>
    </font>
    <font>
      <b/>
      <sz val="12"/>
      <name val="Arial MT"/>
    </font>
    <font>
      <b/>
      <sz val="16"/>
      <color indexed="8"/>
      <name val="Arial"/>
      <family val="2"/>
    </font>
    <font>
      <b/>
      <sz val="14"/>
      <color indexed="8"/>
      <name val="Arial"/>
      <family val="2"/>
    </font>
    <font>
      <b/>
      <sz val="12"/>
      <color indexed="8"/>
      <name val="Arial"/>
      <family val="2"/>
    </font>
    <font>
      <sz val="12"/>
      <color indexed="8"/>
      <name val="Arial"/>
      <family val="2"/>
    </font>
    <font>
      <sz val="12"/>
      <color indexed="12"/>
      <name val="Arial"/>
      <family val="2"/>
    </font>
    <font>
      <sz val="12"/>
      <color indexed="8"/>
      <name val="Courier"/>
      <family val="3"/>
    </font>
    <font>
      <sz val="10"/>
      <color indexed="12"/>
      <name val="Arial"/>
      <family val="2"/>
    </font>
    <font>
      <b/>
      <u/>
      <sz val="12"/>
      <color indexed="8"/>
      <name val="Arial"/>
      <family val="2"/>
    </font>
    <font>
      <sz val="8"/>
      <color indexed="8"/>
      <name val="Arial"/>
      <family val="2"/>
    </font>
    <font>
      <b/>
      <sz val="16"/>
      <color indexed="10"/>
      <name val="Arial"/>
      <family val="2"/>
    </font>
    <font>
      <sz val="11"/>
      <color indexed="8"/>
      <name val="Calibri"/>
      <family val="2"/>
    </font>
    <font>
      <sz val="11"/>
      <color indexed="9"/>
      <name val="Calibri"/>
      <family val="2"/>
    </font>
    <font>
      <sz val="11"/>
      <color indexed="20"/>
      <name val="Calibri"/>
      <family val="2"/>
    </font>
    <font>
      <sz val="8"/>
      <name val="Arial"/>
      <family val="2"/>
    </font>
    <font>
      <b/>
      <sz val="14"/>
      <name val="Arial"/>
      <family val="2"/>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0"/>
      <color indexed="8"/>
      <name val="Arial"/>
      <family val="2"/>
    </font>
    <font>
      <b/>
      <sz val="11"/>
      <color indexed="52"/>
      <name val="Calibri"/>
      <family val="2"/>
    </font>
    <font>
      <b/>
      <sz val="11"/>
      <color indexed="9"/>
      <name val="Calibri"/>
      <family val="2"/>
    </font>
    <font>
      <sz val="10"/>
      <name val="MS Sans Serif"/>
      <family val="2"/>
    </font>
    <font>
      <sz val="10"/>
      <name val="MS Serif"/>
      <family val="1"/>
    </font>
    <font>
      <sz val="10"/>
      <name val="Courier"/>
      <family val="3"/>
    </font>
    <font>
      <sz val="10"/>
      <color indexed="16"/>
      <name val="MS Serif"/>
      <family val="1"/>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b/>
      <sz val="14"/>
      <name val="Book Antiqua"/>
      <family val="1"/>
    </font>
    <font>
      <i/>
      <sz val="10"/>
      <name val="Book Antiqua"/>
      <family val="1"/>
    </font>
    <font>
      <sz val="11"/>
      <color indexed="62"/>
      <name val="Calibri"/>
      <family val="2"/>
    </font>
    <font>
      <sz val="11"/>
      <color indexed="52"/>
      <name val="Calibri"/>
      <family val="2"/>
    </font>
    <font>
      <sz val="11"/>
      <color indexed="60"/>
      <name val="Calibri"/>
      <family val="2"/>
    </font>
    <font>
      <sz val="12"/>
      <name val="TimesNewRomanPS"/>
    </font>
    <font>
      <b/>
      <sz val="11"/>
      <color indexed="63"/>
      <name val="Calibri"/>
      <family val="2"/>
    </font>
    <font>
      <sz val="10"/>
      <name val="TimesNewRomanPS"/>
    </font>
    <font>
      <b/>
      <sz val="10"/>
      <name val="MS Sans Serif"/>
      <family val="2"/>
    </font>
    <font>
      <sz val="8"/>
      <color indexed="38"/>
      <name val="Arial"/>
      <family val="2"/>
    </font>
    <font>
      <b/>
      <sz val="9"/>
      <name val="Arial"/>
      <family val="2"/>
    </font>
    <font>
      <b/>
      <sz val="10"/>
      <name val="Arial"/>
      <family val="2"/>
    </font>
    <font>
      <b/>
      <i/>
      <sz val="16"/>
      <name val="Arial"/>
      <family val="2"/>
    </font>
    <font>
      <b/>
      <sz val="12"/>
      <color indexed="32"/>
      <name val="Arial"/>
      <family val="2"/>
    </font>
    <font>
      <i/>
      <sz val="11"/>
      <name val="Arial"/>
      <family val="2"/>
    </font>
    <font>
      <sz val="11"/>
      <name val="Arial"/>
      <family val="2"/>
    </font>
    <font>
      <sz val="8"/>
      <name val="Helv"/>
    </font>
    <font>
      <b/>
      <sz val="8"/>
      <color indexed="8"/>
      <name val="Helv"/>
    </font>
    <font>
      <b/>
      <sz val="18"/>
      <color indexed="56"/>
      <name val="Cambria"/>
      <family val="2"/>
    </font>
    <font>
      <b/>
      <sz val="11"/>
      <color indexed="8"/>
      <name val="Calibri"/>
      <family val="2"/>
    </font>
    <font>
      <sz val="11"/>
      <color indexed="10"/>
      <name val="Calibri"/>
      <family val="2"/>
    </font>
    <font>
      <sz val="10"/>
      <color theme="1"/>
      <name val="Arial"/>
      <family val="2"/>
    </font>
    <font>
      <sz val="12"/>
      <color theme="1"/>
      <name val="Times New Roman"/>
      <family val="1"/>
    </font>
    <font>
      <b/>
      <sz val="10"/>
      <color theme="1"/>
      <name val="Arial"/>
      <family val="2"/>
    </font>
    <font>
      <u/>
      <sz val="12"/>
      <name val="Times New Roman"/>
      <family val="1"/>
    </font>
    <font>
      <sz val="12"/>
      <color rgb="FFFF0000"/>
      <name val="Times New Roman"/>
      <family val="1"/>
    </font>
    <font>
      <sz val="11"/>
      <color theme="1"/>
      <name val="Arial Narrow"/>
      <family val="2"/>
    </font>
    <font>
      <b/>
      <sz val="11"/>
      <color theme="1"/>
      <name val="Arial Narrow"/>
      <family val="2"/>
    </font>
    <font>
      <b/>
      <i/>
      <sz val="11"/>
      <name val="Arial Narrow"/>
      <family val="2"/>
    </font>
    <font>
      <sz val="10"/>
      <color indexed="12"/>
      <name val="Times New Roman"/>
      <family val="1"/>
    </font>
    <font>
      <sz val="10"/>
      <name val="Times New Roman"/>
      <family val="1"/>
    </font>
    <font>
      <b/>
      <sz val="10"/>
      <color indexed="8"/>
      <name val="Times New Roman"/>
      <family val="1"/>
    </font>
    <font>
      <sz val="9"/>
      <color indexed="12"/>
      <name val="Arial"/>
      <family val="2"/>
    </font>
    <font>
      <sz val="9"/>
      <name val="Times New Roman"/>
      <family val="1"/>
    </font>
    <font>
      <sz val="11"/>
      <name val="Times New Roman"/>
      <family val="1"/>
    </font>
    <font>
      <u val="singleAccounting"/>
      <sz val="11"/>
      <name val="Times New Roman"/>
      <family val="1"/>
    </font>
    <font>
      <b/>
      <sz val="10"/>
      <name val="Times New Roman"/>
      <family val="1"/>
    </font>
    <font>
      <i/>
      <sz val="8"/>
      <name val="Arial"/>
      <family val="2"/>
    </font>
    <font>
      <sz val="10"/>
      <name val="Book Antiqua"/>
      <family val="1"/>
    </font>
    <font>
      <sz val="10"/>
      <color indexed="42"/>
      <name val="Arial"/>
      <family val="2"/>
    </font>
    <font>
      <sz val="10"/>
      <color indexed="46"/>
      <name val="Arial"/>
      <family val="2"/>
    </font>
    <font>
      <b/>
      <sz val="10"/>
      <color indexed="22"/>
      <name val="Arial"/>
      <family val="2"/>
    </font>
    <font>
      <sz val="8"/>
      <color indexed="22"/>
      <name val="Arial"/>
      <family val="2"/>
    </font>
    <font>
      <b/>
      <sz val="10"/>
      <color indexed="12"/>
      <name val="Arial"/>
      <family val="2"/>
    </font>
    <font>
      <sz val="10"/>
      <color indexed="12"/>
      <name val="Book Antiqua"/>
      <family val="1"/>
    </font>
    <font>
      <sz val="10"/>
      <color indexed="40"/>
      <name val="Arial"/>
      <family val="2"/>
    </font>
    <font>
      <sz val="10"/>
      <color indexed="8"/>
      <name val="Times New Roman"/>
      <family val="1"/>
    </font>
    <font>
      <b/>
      <sz val="9"/>
      <name val="Times New Roman"/>
      <family val="1"/>
    </font>
    <font>
      <b/>
      <sz val="10"/>
      <color indexed="10"/>
      <name val="Arial"/>
      <family val="2"/>
    </font>
    <font>
      <sz val="10"/>
      <color indexed="21"/>
      <name val="Arial"/>
      <family val="2"/>
    </font>
    <font>
      <b/>
      <sz val="8"/>
      <name val="Arial"/>
      <family val="2"/>
    </font>
    <font>
      <b/>
      <strike/>
      <sz val="12"/>
      <name val="Times New Roman"/>
      <family val="1"/>
    </font>
  </fonts>
  <fills count="4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indexed="65"/>
        <bgColor indexed="64"/>
      </patternFill>
    </fill>
    <fill>
      <patternFill patternType="solid">
        <fgColor indexed="9"/>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9" tint="0.59999389629810485"/>
        <bgColor indexed="64"/>
      </patternFill>
    </fill>
    <fill>
      <patternFill patternType="solid">
        <fgColor indexed="53"/>
        <bgColor indexed="64"/>
      </patternFill>
    </fill>
    <fill>
      <patternFill patternType="solid">
        <fgColor indexed="39"/>
        <bgColor indexed="64"/>
      </patternFill>
    </fill>
    <fill>
      <patternFill patternType="solid">
        <fgColor indexed="46"/>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1"/>
        <bgColor indexed="64"/>
      </patternFill>
    </fill>
    <fill>
      <patternFill patternType="solid">
        <fgColor indexed="26"/>
        <bgColor indexed="9"/>
      </patternFill>
    </fill>
  </fills>
  <borders count="44">
    <border>
      <left/>
      <right/>
      <top/>
      <bottom/>
      <diagonal/>
    </border>
    <border>
      <left/>
      <right/>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style="medium">
        <color indexed="64"/>
      </bottom>
      <diagonal/>
    </border>
    <border>
      <left/>
      <right/>
      <top/>
      <bottom style="thin">
        <color indexed="8"/>
      </bottom>
      <diagonal/>
    </border>
    <border>
      <left/>
      <right/>
      <top/>
      <bottom style="double">
        <color indexed="8"/>
      </bottom>
      <diagonal/>
    </border>
    <border>
      <left/>
      <right style="medium">
        <color indexed="64"/>
      </right>
      <top/>
      <bottom style="medium">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right/>
      <top/>
      <bottom style="hair">
        <color indexed="20"/>
      </bottom>
      <diagonal/>
    </border>
  </borders>
  <cellStyleXfs count="1091">
    <xf numFmtId="173" fontId="0" fillId="0" borderId="0" applyProtection="0"/>
    <xf numFmtId="44" fontId="11"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4" fillId="0" borderId="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0" fillId="17"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4" borderId="0" applyNumberFormat="0" applyBorder="0" applyAlignment="0" applyProtection="0"/>
    <xf numFmtId="0" fontId="31" fillId="8" borderId="0" applyNumberFormat="0" applyBorder="0" applyAlignment="0" applyProtection="0"/>
    <xf numFmtId="173" fontId="32" fillId="0" borderId="0" applyFill="0"/>
    <xf numFmtId="173" fontId="32" fillId="0" borderId="0">
      <alignment horizontal="center"/>
    </xf>
    <xf numFmtId="0" fontId="32" fillId="0" borderId="0" applyFill="0">
      <alignment horizontal="center"/>
    </xf>
    <xf numFmtId="173" fontId="33" fillId="0" borderId="27" applyFill="0"/>
    <xf numFmtId="0" fontId="11" fillId="0" borderId="0" applyFont="0" applyAlignment="0"/>
    <xf numFmtId="0" fontId="34" fillId="0" borderId="0" applyFill="0">
      <alignment vertical="top"/>
    </xf>
    <xf numFmtId="0" fontId="33" fillId="0" borderId="0" applyFill="0">
      <alignment horizontal="left" vertical="top"/>
    </xf>
    <xf numFmtId="173" fontId="16" fillId="0" borderId="9" applyFill="0"/>
    <xf numFmtId="0" fontId="11" fillId="0" borderId="0" applyNumberFormat="0" applyFont="0" applyAlignment="0"/>
    <xf numFmtId="0" fontId="34" fillId="0" borderId="0" applyFill="0">
      <alignment wrapText="1"/>
    </xf>
    <xf numFmtId="0" fontId="33" fillId="0" borderId="0" applyFill="0">
      <alignment horizontal="left" vertical="top" wrapText="1"/>
    </xf>
    <xf numFmtId="173" fontId="35" fillId="0" borderId="0" applyFill="0"/>
    <xf numFmtId="0" fontId="36" fillId="0" borderId="0" applyNumberFormat="0" applyFont="0" applyAlignment="0">
      <alignment horizontal="center"/>
    </xf>
    <xf numFmtId="0" fontId="37" fillId="0" borderId="0" applyFill="0">
      <alignment vertical="top" wrapText="1"/>
    </xf>
    <xf numFmtId="0" fontId="16" fillId="0" borderId="0" applyFill="0">
      <alignment horizontal="left" vertical="top" wrapText="1"/>
    </xf>
    <xf numFmtId="173" fontId="11" fillId="0" borderId="0" applyFill="0"/>
    <xf numFmtId="0" fontId="36" fillId="0" borderId="0" applyNumberFormat="0" applyFont="0" applyAlignment="0">
      <alignment horizontal="center"/>
    </xf>
    <xf numFmtId="0" fontId="38" fillId="0" borderId="0" applyFill="0">
      <alignment vertical="center" wrapText="1"/>
    </xf>
    <xf numFmtId="0" fontId="17" fillId="0" borderId="0">
      <alignment horizontal="left" vertical="center" wrapText="1"/>
    </xf>
    <xf numFmtId="173" fontId="39" fillId="0" borderId="0" applyFill="0"/>
    <xf numFmtId="0" fontId="36" fillId="0" borderId="0" applyNumberFormat="0" applyFont="0" applyAlignment="0">
      <alignment horizontal="center"/>
    </xf>
    <xf numFmtId="0" fontId="40" fillId="0" borderId="0" applyFill="0">
      <alignment horizontal="center" vertical="center" wrapText="1"/>
    </xf>
    <xf numFmtId="0" fontId="11" fillId="0" borderId="0" applyFill="0">
      <alignment horizontal="center" vertical="center" wrapText="1"/>
    </xf>
    <xf numFmtId="173" fontId="41" fillId="0" borderId="0" applyFill="0"/>
    <xf numFmtId="0" fontId="36" fillId="0" borderId="0" applyNumberFormat="0" applyFont="0" applyAlignment="0">
      <alignment horizontal="center"/>
    </xf>
    <xf numFmtId="0" fontId="42" fillId="0" borderId="0" applyFill="0">
      <alignment horizontal="center" vertical="center" wrapText="1"/>
    </xf>
    <xf numFmtId="0" fontId="43" fillId="0" borderId="0" applyFill="0">
      <alignment horizontal="center" vertical="center" wrapText="1"/>
    </xf>
    <xf numFmtId="173" fontId="44" fillId="0" borderId="0" applyFill="0"/>
    <xf numFmtId="0" fontId="36" fillId="0" borderId="0" applyNumberFormat="0" applyFont="0" applyAlignment="0">
      <alignment horizontal="center"/>
    </xf>
    <xf numFmtId="0" fontId="45" fillId="0" borderId="0">
      <alignment horizontal="center" wrapText="1"/>
    </xf>
    <xf numFmtId="0" fontId="41" fillId="0" borderId="0" applyFill="0">
      <alignment horizontal="center" wrapText="1"/>
    </xf>
    <xf numFmtId="182" fontId="46" fillId="0" borderId="0" applyFill="0" applyBorder="0" applyAlignment="0"/>
    <xf numFmtId="0" fontId="47" fillId="25" borderId="28" applyNumberFormat="0" applyAlignment="0" applyProtection="0"/>
    <xf numFmtId="0" fontId="48" fillId="26" borderId="29" applyNumberFormat="0" applyAlignment="0" applyProtection="0"/>
    <xf numFmtId="41" fontId="22" fillId="0" borderId="0" applyFont="0" applyFill="0" applyBorder="0" applyAlignment="0" applyProtection="0"/>
    <xf numFmtId="41" fontId="22"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1"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3" fontId="11" fillId="0" borderId="0" applyFont="0" applyFill="0" applyBorder="0" applyAlignment="0" applyProtection="0"/>
    <xf numFmtId="0" fontId="50" fillId="0" borderId="0" applyNumberFormat="0" applyAlignment="0">
      <alignment horizontal="left"/>
    </xf>
    <xf numFmtId="0" fontId="51" fillId="0" borderId="0"/>
    <xf numFmtId="44" fontId="11" fillId="0" borderId="0" applyFont="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5" fontId="11" fillId="0" borderId="0" applyFont="0" applyFill="0" applyBorder="0" applyAlignment="0" applyProtection="0"/>
    <xf numFmtId="14" fontId="11" fillId="0" borderId="0" applyFont="0" applyFill="0" applyBorder="0" applyAlignment="0" applyProtection="0"/>
    <xf numFmtId="183" fontId="11" fillId="0" borderId="0" applyFont="0" applyFill="0" applyBorder="0" applyAlignment="0" applyProtection="0"/>
    <xf numFmtId="0" fontId="52" fillId="0" borderId="0" applyNumberFormat="0" applyAlignment="0">
      <alignment horizontal="left"/>
    </xf>
    <xf numFmtId="0" fontId="53" fillId="0" borderId="0" applyNumberFormat="0" applyFill="0" applyBorder="0" applyAlignment="0" applyProtection="0"/>
    <xf numFmtId="2" fontId="11" fillId="0" borderId="0" applyFont="0" applyFill="0" applyBorder="0" applyAlignment="0" applyProtection="0"/>
    <xf numFmtId="0" fontId="54" fillId="9" borderId="0" applyNumberFormat="0" applyBorder="0" applyAlignment="0" applyProtection="0"/>
    <xf numFmtId="38" fontId="32" fillId="27" borderId="0" applyNumberFormat="0" applyBorder="0" applyAlignment="0" applyProtection="0"/>
    <xf numFmtId="0" fontId="16" fillId="0" borderId="30" applyNumberFormat="0" applyAlignment="0" applyProtection="0">
      <alignment horizontal="left" vertical="center"/>
    </xf>
    <xf numFmtId="0" fontId="16" fillId="0" borderId="13">
      <alignment horizontal="left" vertical="center"/>
    </xf>
    <xf numFmtId="0" fontId="55" fillId="0" borderId="0" applyFont="0" applyFill="0" applyBorder="0" applyAlignment="0" applyProtection="0"/>
    <xf numFmtId="0" fontId="56" fillId="0" borderId="31" applyNumberFormat="0" applyFill="0" applyAlignment="0" applyProtection="0"/>
    <xf numFmtId="0" fontId="16" fillId="0" borderId="0" applyFont="0" applyFill="0" applyBorder="0" applyAlignment="0" applyProtection="0"/>
    <xf numFmtId="0" fontId="57" fillId="0" borderId="32" applyNumberFormat="0" applyFill="0" applyAlignment="0" applyProtection="0"/>
    <xf numFmtId="0" fontId="58" fillId="0" borderId="33" applyNumberFormat="0" applyFill="0" applyAlignment="0" applyProtection="0"/>
    <xf numFmtId="0" fontId="58" fillId="0" borderId="0" applyNumberFormat="0" applyFill="0" applyBorder="0" applyAlignment="0" applyProtection="0"/>
    <xf numFmtId="0" fontId="59" fillId="0" borderId="1"/>
    <xf numFmtId="0" fontId="60" fillId="0" borderId="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2" fillId="0" borderId="35" applyNumberFormat="0" applyFill="0" applyAlignment="0" applyProtection="0"/>
    <xf numFmtId="0" fontId="63" fillId="29" borderId="0" applyNumberFormat="0" applyBorder="0" applyAlignment="0" applyProtection="0"/>
    <xf numFmtId="184" fontId="11" fillId="0" borderId="0"/>
    <xf numFmtId="173" fontId="15" fillId="0" borderId="0" applyProtection="0"/>
    <xf numFmtId="0" fontId="64" fillId="0" borderId="0"/>
    <xf numFmtId="0" fontId="15" fillId="0" borderId="0"/>
    <xf numFmtId="0" fontId="15" fillId="0" borderId="0"/>
    <xf numFmtId="0" fontId="22" fillId="0" borderId="0"/>
    <xf numFmtId="0" fontId="4" fillId="0" borderId="0"/>
    <xf numFmtId="173" fontId="15" fillId="0" borderId="0" applyProtection="0"/>
    <xf numFmtId="0" fontId="11" fillId="0" borderId="0"/>
    <xf numFmtId="0" fontId="64" fillId="0" borderId="0"/>
    <xf numFmtId="0" fontId="17" fillId="0" borderId="0"/>
    <xf numFmtId="0" fontId="46" fillId="0" borderId="0"/>
    <xf numFmtId="39" fontId="15" fillId="0" borderId="0"/>
    <xf numFmtId="0" fontId="15" fillId="0" borderId="0"/>
    <xf numFmtId="0" fontId="64" fillId="0" borderId="0"/>
    <xf numFmtId="173" fontId="15" fillId="0" borderId="0" applyProtection="0"/>
    <xf numFmtId="173" fontId="15" fillId="0" borderId="0" applyProtection="0"/>
    <xf numFmtId="0" fontId="15" fillId="30" borderId="36" applyNumberFormat="0" applyFont="0" applyAlignment="0" applyProtection="0"/>
    <xf numFmtId="0" fontId="65" fillId="25" borderId="37" applyNumberFormat="0" applyAlignment="0" applyProtection="0"/>
    <xf numFmtId="10" fontId="1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3" fontId="11" fillId="0" borderId="0">
      <alignment horizontal="left" vertical="top"/>
    </xf>
    <xf numFmtId="0" fontId="67" fillId="0" borderId="1">
      <alignment horizontal="center"/>
    </xf>
    <xf numFmtId="3" fontId="49" fillId="0" borderId="0" applyFont="0" applyFill="0" applyBorder="0" applyAlignment="0" applyProtection="0"/>
    <xf numFmtId="0" fontId="49" fillId="31" borderId="0" applyNumberFormat="0" applyFont="0" applyBorder="0" applyAlignment="0" applyProtection="0"/>
    <xf numFmtId="3" fontId="11" fillId="0" borderId="0">
      <alignment horizontal="right" vertical="top"/>
    </xf>
    <xf numFmtId="41" fontId="17" fillId="27" borderId="17" applyFill="0"/>
    <xf numFmtId="0" fontId="68" fillId="0" borderId="0">
      <alignment horizontal="left" indent="7"/>
    </xf>
    <xf numFmtId="41" fontId="17" fillId="0" borderId="17" applyFill="0">
      <alignment horizontal="left" indent="2"/>
    </xf>
    <xf numFmtId="173" fontId="69" fillId="0" borderId="6" applyFill="0">
      <alignment horizontal="right"/>
    </xf>
    <xf numFmtId="0" fontId="70" fillId="0" borderId="34" applyNumberFormat="0" applyFont="0" applyBorder="0">
      <alignment horizontal="right"/>
    </xf>
    <xf numFmtId="0" fontId="71" fillId="0" borderId="0" applyFill="0"/>
    <xf numFmtId="0" fontId="16" fillId="0" borderId="0" applyFill="0"/>
    <xf numFmtId="4" fontId="69" fillId="0" borderId="6" applyFill="0"/>
    <xf numFmtId="0" fontId="11" fillId="0" borderId="0" applyNumberFormat="0" applyFont="0" applyBorder="0" applyAlignment="0"/>
    <xf numFmtId="0" fontId="37" fillId="0" borderId="0" applyFill="0">
      <alignment horizontal="left" indent="1"/>
    </xf>
    <xf numFmtId="0" fontId="72" fillId="0" borderId="0" applyFill="0">
      <alignment horizontal="left" indent="1"/>
    </xf>
    <xf numFmtId="4" fontId="39" fillId="0" borderId="0" applyFill="0"/>
    <xf numFmtId="0" fontId="11" fillId="0" borderId="0" applyNumberFormat="0" applyFont="0" applyFill="0" applyBorder="0" applyAlignment="0"/>
    <xf numFmtId="0" fontId="37" fillId="0" borderId="0" applyFill="0">
      <alignment horizontal="left" indent="2"/>
    </xf>
    <xf numFmtId="0" fontId="16" fillId="0" borderId="0" applyFill="0">
      <alignment horizontal="left" indent="2"/>
    </xf>
    <xf numFmtId="4" fontId="39" fillId="0" borderId="0" applyFill="0"/>
    <xf numFmtId="0" fontId="11" fillId="0" borderId="0" applyNumberFormat="0" applyFont="0" applyBorder="0" applyAlignment="0"/>
    <xf numFmtId="0" fontId="73" fillId="0" borderId="0">
      <alignment horizontal="left" indent="3"/>
    </xf>
    <xf numFmtId="0" fontId="74" fillId="0" borderId="0" applyFill="0">
      <alignment horizontal="left" indent="3"/>
    </xf>
    <xf numFmtId="4" fontId="39" fillId="0" borderId="0" applyFill="0"/>
    <xf numFmtId="0" fontId="11" fillId="0" borderId="0" applyNumberFormat="0" applyFont="0" applyBorder="0" applyAlignment="0"/>
    <xf numFmtId="0" fontId="40" fillId="0" borderId="0">
      <alignment horizontal="left" indent="4"/>
    </xf>
    <xf numFmtId="0" fontId="11" fillId="0" borderId="0" applyFill="0">
      <alignment horizontal="left" indent="4"/>
    </xf>
    <xf numFmtId="4" fontId="41" fillId="0" borderId="0" applyFill="0"/>
    <xf numFmtId="0" fontId="11" fillId="0" borderId="0" applyNumberFormat="0" applyFont="0" applyBorder="0" applyAlignment="0"/>
    <xf numFmtId="0" fontId="42" fillId="0" borderId="0">
      <alignment horizontal="left" indent="5"/>
    </xf>
    <xf numFmtId="0" fontId="43" fillId="0" borderId="0" applyFill="0">
      <alignment horizontal="left" indent="5"/>
    </xf>
    <xf numFmtId="4" fontId="44" fillId="0" borderId="0" applyFill="0"/>
    <xf numFmtId="0" fontId="11" fillId="0" borderId="0" applyNumberFormat="0" applyFont="0" applyFill="0" applyBorder="0" applyAlignment="0"/>
    <xf numFmtId="0" fontId="45" fillId="0" borderId="0" applyFill="0">
      <alignment horizontal="left" indent="6"/>
    </xf>
    <xf numFmtId="0" fontId="41" fillId="0" borderId="0" applyFill="0">
      <alignment horizontal="left" indent="6"/>
    </xf>
    <xf numFmtId="185" fontId="75" fillId="0" borderId="0" applyNumberFormat="0" applyFill="0" applyBorder="0" applyAlignment="0" applyProtection="0">
      <alignment horizontal="left"/>
    </xf>
    <xf numFmtId="40" fontId="76" fillId="0" borderId="0" applyBorder="0">
      <alignment horizontal="right"/>
    </xf>
    <xf numFmtId="0" fontId="77" fillId="0" borderId="0" applyNumberFormat="0" applyFill="0" applyBorder="0" applyAlignment="0" applyProtection="0"/>
    <xf numFmtId="0" fontId="11" fillId="0" borderId="0" applyFont="0" applyFill="0" applyBorder="0" applyAlignment="0" applyProtection="0"/>
    <xf numFmtId="0" fontId="78" fillId="0" borderId="38" applyNumberFormat="0" applyFill="0" applyAlignment="0" applyProtection="0"/>
    <xf numFmtId="0" fontId="79" fillId="0" borderId="0" applyNumberForma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173" fontId="15" fillId="0" borderId="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1" fillId="0" borderId="0"/>
    <xf numFmtId="189" fontId="11" fillId="33" borderId="0" applyNumberFormat="0" applyFill="0" applyBorder="0" applyAlignment="0" applyProtection="0">
      <alignment horizontal="right" vertical="center"/>
    </xf>
    <xf numFmtId="189" fontId="25" fillId="0" borderId="0" applyNumberFormat="0" applyFill="0" applyBorder="0" applyAlignment="0" applyProtection="0"/>
    <xf numFmtId="0" fontId="11" fillId="0" borderId="6" applyNumberFormat="0" applyFont="0" applyFill="0" applyAlignment="0" applyProtection="0"/>
    <xf numFmtId="190" fontId="5" fillId="0" borderId="0" applyFont="0" applyFill="0" applyBorder="0" applyAlignment="0" applyProtection="0"/>
    <xf numFmtId="37" fontId="88" fillId="0" borderId="0" applyFont="0" applyFill="0" applyBorder="0" applyAlignment="0" applyProtection="0">
      <alignment vertical="center"/>
      <protection locked="0"/>
    </xf>
    <xf numFmtId="191" fontId="89" fillId="0" borderId="0" applyFont="0" applyFill="0" applyBorder="0" applyAlignment="0" applyProtection="0"/>
    <xf numFmtId="0" fontId="90" fillId="0" borderId="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92" fontId="91" fillId="0" borderId="0" applyFont="0" applyFill="0" applyBorder="0" applyAlignment="0" applyProtection="0">
      <protection locked="0"/>
    </xf>
    <xf numFmtId="193" fontId="91" fillId="0" borderId="0" applyFont="0" applyFill="0" applyBorder="0" applyAlignment="0" applyProtection="0">
      <protection locked="0"/>
    </xf>
    <xf numFmtId="39" fontId="11" fillId="0" borderId="0" applyFont="0" applyFill="0" applyBorder="0" applyAlignment="0" applyProtection="0"/>
    <xf numFmtId="194" fontId="92" fillId="0" borderId="0" applyFont="0" applyFill="0" applyBorder="0" applyAlignment="0" applyProtection="0"/>
    <xf numFmtId="195" fontId="89" fillId="0" borderId="0" applyFont="0" applyFill="0" applyBorder="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11" fillId="0" borderId="6" applyNumberFormat="0" applyFont="0" applyFill="0" applyBorder="0" applyProtection="0">
      <alignment horizontal="centerContinuous" vertical="center"/>
    </xf>
    <xf numFmtId="0" fontId="69" fillId="0" borderId="0" applyFill="0" applyBorder="0" applyProtection="0">
      <alignment horizontal="center"/>
      <protection locked="0"/>
    </xf>
    <xf numFmtId="41" fontId="22" fillId="0" borderId="0" applyFont="0" applyFill="0" applyBorder="0" applyAlignment="0" applyProtection="0"/>
    <xf numFmtId="41" fontId="1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96" fontId="93" fillId="0" borderId="0" applyFont="0" applyFill="0" applyBorder="0" applyAlignment="0" applyProtection="0"/>
    <xf numFmtId="197" fontId="94" fillId="0" borderId="0" applyFont="0" applyFill="0" applyBorder="0" applyAlignment="0" applyProtection="0"/>
    <xf numFmtId="198" fontId="94" fillId="0" borderId="0" applyFont="0" applyFill="0" applyBorder="0" applyAlignment="0" applyProtection="0"/>
    <xf numFmtId="199" fontId="35" fillId="0" borderId="0" applyFont="0" applyFill="0" applyBorder="0" applyAlignment="0" applyProtection="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89" fillId="0" borderId="0" applyFont="0" applyFill="0" applyBorder="0" applyAlignment="0" applyProtection="0"/>
    <xf numFmtId="0" fontId="33" fillId="0" borderId="0" applyFill="0" applyBorder="0" applyAlignment="0" applyProtection="0">
      <protection locked="0"/>
    </xf>
    <xf numFmtId="0" fontId="11" fillId="0" borderId="40"/>
    <xf numFmtId="200" fontId="94" fillId="0" borderId="0" applyFont="0" applyFill="0" applyBorder="0" applyAlignment="0" applyProtection="0"/>
    <xf numFmtId="201" fontId="94" fillId="0" borderId="0" applyFont="0" applyFill="0" applyBorder="0" applyAlignment="0" applyProtection="0"/>
    <xf numFmtId="202" fontId="94" fillId="0" borderId="0" applyFont="0" applyFill="0" applyBorder="0" applyAlignment="0" applyProtection="0"/>
    <xf numFmtId="203" fontId="35" fillId="0" borderId="0" applyFont="0" applyFill="0" applyBorder="0" applyAlignment="0" applyProtection="0">
      <protection locked="0"/>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5" fontId="11" fillId="0" borderId="0" applyFont="0" applyFill="0" applyBorder="0" applyAlignment="0" applyProtection="0"/>
    <xf numFmtId="204" fontId="89" fillId="0" borderId="0" applyFont="0" applyFill="0" applyBorder="0" applyAlignment="0" applyProtection="0"/>
    <xf numFmtId="205" fontId="11" fillId="0" borderId="0" applyFont="0" applyFill="0" applyBorder="0" applyAlignment="0" applyProtection="0"/>
    <xf numFmtId="206" fontId="91" fillId="0" borderId="0" applyFont="0" applyFill="0" applyBorder="0" applyAlignment="0" applyProtection="0">
      <protection locked="0"/>
    </xf>
    <xf numFmtId="7" fontId="32" fillId="0" borderId="0" applyFont="0" applyFill="0" applyBorder="0" applyAlignment="0" applyProtection="0"/>
    <xf numFmtId="207" fontId="92" fillId="0" borderId="0" applyFont="0" applyFill="0" applyBorder="0" applyAlignment="0" applyProtection="0"/>
    <xf numFmtId="208" fontId="95" fillId="0" borderId="0" applyFont="0" applyFill="0" applyBorder="0" applyAlignment="0" applyProtection="0"/>
    <xf numFmtId="0" fontId="96" fillId="34" borderId="41" applyNumberFormat="0" applyFont="0" applyFill="0" applyAlignment="0" applyProtection="0">
      <alignment horizontal="left" indent="1"/>
    </xf>
    <xf numFmtId="5" fontId="97" fillId="0" borderId="0" applyBorder="0"/>
    <xf numFmtId="205" fontId="97" fillId="0" borderId="0" applyBorder="0"/>
    <xf numFmtId="7" fontId="97" fillId="0" borderId="0" applyBorder="0"/>
    <xf numFmtId="37" fontId="97" fillId="0" borderId="0" applyBorder="0"/>
    <xf numFmtId="192" fontId="97" fillId="0" borderId="0" applyBorder="0"/>
    <xf numFmtId="209" fontId="97" fillId="0" borderId="0" applyBorder="0"/>
    <xf numFmtId="39" fontId="97" fillId="0" borderId="0" applyBorder="0"/>
    <xf numFmtId="210" fontId="97" fillId="0" borderId="0" applyBorder="0"/>
    <xf numFmtId="7" fontId="11" fillId="0" borderId="0" applyFont="0" applyFill="0" applyBorder="0" applyAlignment="0" applyProtection="0"/>
    <xf numFmtId="211" fontId="89" fillId="0" borderId="0" applyFont="0" applyFill="0" applyBorder="0" applyAlignment="0" applyProtection="0"/>
    <xf numFmtId="212" fontId="89" fillId="0" borderId="0" applyFont="0" applyFill="0" applyAlignment="0" applyProtection="0"/>
    <xf numFmtId="211" fontId="89" fillId="0" borderId="0" applyFont="0" applyFill="0" applyBorder="0" applyAlignment="0" applyProtection="0"/>
    <xf numFmtId="213" fontId="32" fillId="0" borderId="0" applyFont="0" applyFill="0" applyBorder="0" applyAlignment="0" applyProtection="0"/>
    <xf numFmtId="192" fontId="98" fillId="0" borderId="0" applyNumberFormat="0" applyFill="0" applyBorder="0" applyAlignment="0" applyProtection="0"/>
    <xf numFmtId="0" fontId="32" fillId="0" borderId="0" applyFont="0" applyFill="0" applyBorder="0" applyAlignment="0" applyProtection="0"/>
    <xf numFmtId="0" fontId="98" fillId="0" borderId="0" applyNumberFormat="0" applyFill="0" applyBorder="0" applyAlignment="0" applyProtection="0"/>
    <xf numFmtId="38" fontId="32" fillId="27" borderId="0" applyNumberFormat="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14" fontId="70" fillId="36" borderId="1">
      <alignment horizontal="center" vertical="center" wrapText="1"/>
    </xf>
    <xf numFmtId="0" fontId="69" fillId="0" borderId="0" applyFill="0" applyAlignment="0" applyProtection="0">
      <protection locked="0"/>
    </xf>
    <xf numFmtId="0" fontId="69" fillId="0" borderId="6" applyFill="0" applyAlignment="0" applyProtection="0">
      <protection locked="0"/>
    </xf>
    <xf numFmtId="0" fontId="100" fillId="0" borderId="6" applyNumberFormat="0" applyFill="0" applyAlignment="0" applyProtection="0"/>
    <xf numFmtId="0" fontId="101" fillId="37" borderId="0" applyNumberFormat="0" applyFont="0" applyBorder="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5" fontId="103" fillId="0" borderId="0" applyBorder="0"/>
    <xf numFmtId="205" fontId="103" fillId="0" borderId="0" applyBorder="0"/>
    <xf numFmtId="7" fontId="103" fillId="0" borderId="0" applyBorder="0"/>
    <xf numFmtId="37" fontId="103" fillId="0" borderId="0" applyBorder="0"/>
    <xf numFmtId="192" fontId="103" fillId="0" borderId="0" applyBorder="0"/>
    <xf numFmtId="209" fontId="103" fillId="0" borderId="0" applyBorder="0"/>
    <xf numFmtId="39" fontId="103" fillId="0" borderId="0" applyBorder="0"/>
    <xf numFmtId="210" fontId="103" fillId="0" borderId="0" applyBorder="0"/>
    <xf numFmtId="0" fontId="101" fillId="0" borderId="3" applyNumberFormat="0" applyFont="0" applyFill="0" applyAlignment="0" applyProtection="0"/>
    <xf numFmtId="214" fontId="11" fillId="0" borderId="0" applyFont="0" applyFill="0" applyBorder="0" applyAlignment="0" applyProtection="0"/>
    <xf numFmtId="215" fontId="11" fillId="0" borderId="0" applyFont="0" applyFill="0" applyBorder="0" applyAlignment="0" applyProtection="0"/>
    <xf numFmtId="216" fontId="11" fillId="0" borderId="0" applyFont="0" applyFill="0" applyBorder="0" applyAlignment="0" applyProtection="0"/>
    <xf numFmtId="217" fontId="11" fillId="0" borderId="0" applyFont="0" applyFill="0" applyBorder="0" applyAlignment="0" applyProtection="0"/>
    <xf numFmtId="218" fontId="11" fillId="0" borderId="0" applyFont="0" applyFill="0" applyBorder="0" applyAlignment="0" applyProtection="0"/>
    <xf numFmtId="0" fontId="11" fillId="0" borderId="0"/>
    <xf numFmtId="0" fontId="64"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5" fillId="0" borderId="0" applyProtection="0"/>
    <xf numFmtId="173" fontId="15" fillId="0" borderId="0" applyProtection="0"/>
    <xf numFmtId="173" fontId="15" fillId="0" borderId="0" applyProtection="0"/>
    <xf numFmtId="0" fontId="11" fillId="0" borderId="0"/>
    <xf numFmtId="173" fontId="15" fillId="0" borderId="0" applyProtection="0"/>
    <xf numFmtId="0" fontId="1" fillId="0" borderId="0"/>
    <xf numFmtId="0" fontId="1" fillId="0" borderId="0"/>
    <xf numFmtId="0" fontId="1" fillId="0" borderId="0"/>
    <xf numFmtId="0" fontId="1" fillId="0" borderId="0"/>
    <xf numFmtId="173" fontId="15" fillId="0" borderId="0" applyProtection="0"/>
    <xf numFmtId="0" fontId="1" fillId="0" borderId="0"/>
    <xf numFmtId="0" fontId="1" fillId="0" borderId="0"/>
    <xf numFmtId="173" fontId="15" fillId="0" borderId="0" applyProtection="0"/>
    <xf numFmtId="173" fontId="15" fillId="0" borderId="0" applyProtection="0"/>
    <xf numFmtId="173" fontId="15" fillId="0" borderId="0" applyProtection="0"/>
    <xf numFmtId="173" fontId="15" fillId="0" borderId="0" applyProtection="0"/>
    <xf numFmtId="173" fontId="15" fillId="0" borderId="0" applyProtection="0"/>
    <xf numFmtId="0" fontId="1" fillId="0" borderId="0"/>
    <xf numFmtId="0" fontId="1" fillId="0" borderId="0"/>
    <xf numFmtId="173" fontId="15" fillId="0" borderId="0" applyProtection="0"/>
    <xf numFmtId="0" fontId="11" fillId="0" borderId="0"/>
    <xf numFmtId="0" fontId="89" fillId="0" borderId="0"/>
    <xf numFmtId="0" fontId="89" fillId="0" borderId="0"/>
    <xf numFmtId="0" fontId="64" fillId="0" borderId="0"/>
    <xf numFmtId="0" fontId="11" fillId="0" borderId="0"/>
    <xf numFmtId="0" fontId="11" fillId="0" borderId="0"/>
    <xf numFmtId="0" fontId="46" fillId="0" borderId="0"/>
    <xf numFmtId="0" fontId="11" fillId="0" borderId="0"/>
    <xf numFmtId="0" fontId="17" fillId="0" borderId="0"/>
    <xf numFmtId="0" fontId="11" fillId="0" borderId="0"/>
    <xf numFmtId="0" fontId="11" fillId="0" borderId="0"/>
    <xf numFmtId="0" fontId="89" fillId="0" borderId="0"/>
    <xf numFmtId="39" fontId="15" fillId="0" borderId="0"/>
    <xf numFmtId="173" fontId="15" fillId="0" borderId="0" applyProtection="0"/>
    <xf numFmtId="0" fontId="15" fillId="0" borderId="0"/>
    <xf numFmtId="0" fontId="1" fillId="0" borderId="0"/>
    <xf numFmtId="0" fontId="1" fillId="0" borderId="0"/>
    <xf numFmtId="0" fontId="1" fillId="0" borderId="0"/>
    <xf numFmtId="173" fontId="15" fillId="0" borderId="0" applyProtection="0"/>
    <xf numFmtId="0" fontId="64" fillId="0" borderId="0"/>
    <xf numFmtId="0" fontId="1" fillId="0" borderId="0"/>
    <xf numFmtId="0" fontId="1" fillId="0" borderId="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219" fontId="11" fillId="0" borderId="0" applyFont="0" applyFill="0" applyBorder="0" applyAlignment="0" applyProtection="0"/>
    <xf numFmtId="220" fontId="39" fillId="5" borderId="0" applyFont="0" applyFill="0" applyBorder="0" applyAlignment="0" applyProtection="0"/>
    <xf numFmtId="221" fontId="39" fillId="5" borderId="0" applyFont="0" applyFill="0" applyBorder="0" applyAlignment="0" applyProtection="0"/>
    <xf numFmtId="222" fontId="11" fillId="0" borderId="0" applyFont="0" applyFill="0" applyBorder="0" applyAlignment="0" applyProtection="0"/>
    <xf numFmtId="223" fontId="94" fillId="0" borderId="0" applyFont="0" applyFill="0" applyBorder="0" applyAlignment="0" applyProtection="0"/>
    <xf numFmtId="224" fontId="93" fillId="0" borderId="0" applyFont="0" applyFill="0" applyBorder="0" applyAlignment="0" applyProtection="0"/>
    <xf numFmtId="225" fontId="11" fillId="0" borderId="0" applyFont="0" applyFill="0" applyBorder="0" applyAlignment="0" applyProtection="0"/>
    <xf numFmtId="226" fontId="94" fillId="0" borderId="0" applyFont="0" applyFill="0" applyBorder="0" applyAlignment="0" applyProtection="0"/>
    <xf numFmtId="227" fontId="93" fillId="0" borderId="0" applyFont="0" applyFill="0" applyBorder="0" applyAlignment="0" applyProtection="0"/>
    <xf numFmtId="228" fontId="94" fillId="0" borderId="0" applyFont="0" applyFill="0" applyBorder="0" applyAlignment="0" applyProtection="0"/>
    <xf numFmtId="229" fontId="93" fillId="0" borderId="0" applyFont="0" applyFill="0" applyBorder="0" applyAlignment="0" applyProtection="0"/>
    <xf numFmtId="230" fontId="94" fillId="0" borderId="0" applyFont="0" applyFill="0" applyBorder="0" applyAlignment="0" applyProtection="0"/>
    <xf numFmtId="231" fontId="93" fillId="0" borderId="0" applyFont="0" applyFill="0" applyBorder="0" applyAlignment="0" applyProtection="0"/>
    <xf numFmtId="232" fontId="35" fillId="0" borderId="0" applyFont="0" applyFill="0" applyBorder="0" applyAlignment="0" applyProtection="0">
      <protection locked="0"/>
    </xf>
    <xf numFmtId="233" fontId="9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97" fillId="0" borderId="0" applyBorder="0"/>
    <xf numFmtId="234" fontId="97" fillId="0" borderId="0" applyBorder="0"/>
    <xf numFmtId="10" fontId="97" fillId="0" borderId="0" applyBorder="0"/>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101" fillId="0" borderId="4" applyNumberFormat="0" applyFont="0" applyFill="0" applyAlignment="0" applyProtection="0"/>
    <xf numFmtId="0" fontId="104" fillId="0" borderId="0" applyNumberFormat="0" applyFill="0" applyBorder="0" applyAlignment="0" applyProtection="0"/>
    <xf numFmtId="0" fontId="105" fillId="0" borderId="0"/>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33" fillId="40" borderId="0"/>
    <xf numFmtId="0" fontId="11" fillId="27" borderId="40" applyNumberFormat="0" applyFont="0" applyAlignment="0"/>
    <xf numFmtId="0" fontId="101" fillId="34" borderId="0" applyNumberFormat="0" applyFont="0" applyBorder="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0" fontId="107" fillId="0" borderId="0" applyFill="0" applyBorder="0" applyProtection="0">
      <alignment horizontal="left" vertical="top"/>
    </xf>
    <xf numFmtId="0" fontId="11" fillId="0" borderId="39" applyNumberFormat="0" applyFont="0" applyFill="0" applyAlignment="0" applyProtection="0"/>
    <xf numFmtId="0" fontId="11" fillId="0" borderId="39" applyNumberFormat="0" applyFon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108" fillId="0" borderId="0" applyNumberFormat="0" applyFill="0" applyBorder="0" applyAlignment="0" applyProtection="0"/>
    <xf numFmtId="235" fontId="93" fillId="0" borderId="0" applyFont="0" applyFill="0" applyBorder="0" applyAlignment="0" applyProtection="0"/>
    <xf numFmtId="236" fontId="93" fillId="0" borderId="0" applyFont="0" applyFill="0" applyBorder="0" applyAlignment="0" applyProtection="0"/>
    <xf numFmtId="237" fontId="93" fillId="0" borderId="0" applyFont="0" applyFill="0" applyBorder="0" applyAlignment="0" applyProtection="0"/>
    <xf numFmtId="238" fontId="93" fillId="0" borderId="0" applyFont="0" applyFill="0" applyBorder="0" applyAlignment="0" applyProtection="0"/>
    <xf numFmtId="239" fontId="93" fillId="0" borderId="0" applyFont="0" applyFill="0" applyBorder="0" applyAlignment="0" applyProtection="0"/>
    <xf numFmtId="240" fontId="93" fillId="0" borderId="0" applyFont="0" applyFill="0" applyBorder="0" applyAlignment="0" applyProtection="0"/>
    <xf numFmtId="241" fontId="93" fillId="0" borderId="0" applyFont="0" applyFill="0" applyBorder="0" applyAlignment="0" applyProtection="0"/>
    <xf numFmtId="242" fontId="93" fillId="0" borderId="0" applyFont="0" applyFill="0" applyBorder="0" applyAlignment="0" applyProtection="0"/>
    <xf numFmtId="243" fontId="109" fillId="34" borderId="43" applyFont="0" applyFill="0" applyBorder="0" applyAlignment="0" applyProtection="0"/>
    <xf numFmtId="243" fontId="89" fillId="0" borderId="0" applyFont="0" applyFill="0" applyBorder="0" applyAlignment="0" applyProtection="0"/>
    <xf numFmtId="244" fontId="92" fillId="0" borderId="0" applyFont="0" applyFill="0" applyBorder="0" applyAlignment="0" applyProtection="0"/>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cellStyleXfs>
  <cellXfs count="465">
    <xf numFmtId="173" fontId="0" fillId="0" borderId="0" xfId="0" applyAlignment="1"/>
    <xf numFmtId="173" fontId="5" fillId="0" borderId="0" xfId="0" applyFont="1" applyAlignment="1"/>
    <xf numFmtId="0" fontId="5" fillId="0" borderId="0" xfId="0" applyNumberFormat="1" applyFont="1" applyAlignment="1" applyProtection="1">
      <alignment horizontal="left"/>
      <protection locked="0"/>
    </xf>
    <xf numFmtId="0" fontId="5" fillId="0" borderId="0" xfId="0" applyNumberFormat="1" applyFont="1" applyProtection="1">
      <protection locked="0"/>
    </xf>
    <xf numFmtId="0" fontId="5" fillId="0" borderId="0" xfId="0" applyNumberFormat="1" applyFont="1" applyAlignment="1" applyProtection="1">
      <alignment horizontal="center"/>
      <protection locked="0"/>
    </xf>
    <xf numFmtId="0" fontId="5" fillId="0" borderId="0" xfId="0" applyNumberFormat="1" applyFont="1" applyAlignment="1" applyProtection="1">
      <alignment horizontal="right"/>
      <protection locked="0"/>
    </xf>
    <xf numFmtId="0" fontId="5" fillId="0" borderId="0" xfId="0" applyNumberFormat="1" applyFont="1"/>
    <xf numFmtId="173" fontId="5" fillId="0" borderId="0" xfId="0" applyFont="1" applyFill="1" applyAlignment="1"/>
    <xf numFmtId="0" fontId="5" fillId="0" borderId="0" xfId="0" applyNumberFormat="1" applyFont="1" applyFill="1" applyAlignment="1">
      <alignment horizontal="center"/>
    </xf>
    <xf numFmtId="0" fontId="5" fillId="0" borderId="0" xfId="0" applyNumberFormat="1" applyFont="1" applyFill="1"/>
    <xf numFmtId="0" fontId="5" fillId="2" borderId="0" xfId="0" applyNumberFormat="1" applyFont="1" applyFill="1"/>
    <xf numFmtId="3" fontId="5" fillId="0" borderId="0" xfId="0" applyNumberFormat="1" applyFont="1" applyAlignment="1"/>
    <xf numFmtId="49" fontId="5" fillId="0" borderId="0" xfId="0" applyNumberFormat="1" applyFont="1"/>
    <xf numFmtId="0" fontId="5" fillId="0" borderId="1" xfId="0" applyNumberFormat="1" applyFont="1" applyBorder="1" applyAlignment="1" applyProtection="1">
      <alignment horizontal="center"/>
      <protection locked="0"/>
    </xf>
    <xf numFmtId="3" fontId="5" fillId="0" borderId="0" xfId="0" applyNumberFormat="1" applyFont="1"/>
    <xf numFmtId="3" fontId="5" fillId="0" borderId="0" xfId="0" applyNumberFormat="1" applyFont="1" applyFill="1" applyAlignment="1"/>
    <xf numFmtId="0" fontId="5" fillId="0" borderId="1" xfId="0" applyNumberFormat="1" applyFont="1" applyBorder="1" applyAlignment="1" applyProtection="1">
      <alignment horizontal="centerContinuous"/>
      <protection locked="0"/>
    </xf>
    <xf numFmtId="166" fontId="5" fillId="0" borderId="0" xfId="0" applyNumberFormat="1" applyFont="1" applyAlignment="1"/>
    <xf numFmtId="3" fontId="5" fillId="0" borderId="0" xfId="0" applyNumberFormat="1" applyFont="1" applyFill="1" applyBorder="1"/>
    <xf numFmtId="3" fontId="5" fillId="2" borderId="0" xfId="0" applyNumberFormat="1" applyFont="1" applyFill="1" applyAlignment="1"/>
    <xf numFmtId="3" fontId="5" fillId="0" borderId="1" xfId="0" applyNumberFormat="1" applyFont="1" applyBorder="1" applyAlignment="1"/>
    <xf numFmtId="3" fontId="5" fillId="0" borderId="0" xfId="0" applyNumberFormat="1" applyFont="1" applyAlignment="1">
      <alignment horizontal="fill"/>
    </xf>
    <xf numFmtId="0" fontId="5" fillId="0" borderId="0" xfId="0" applyNumberFormat="1" applyFont="1" applyFill="1" applyProtection="1">
      <protection locked="0"/>
    </xf>
    <xf numFmtId="3" fontId="5" fillId="2" borderId="0" xfId="0" applyNumberFormat="1" applyFont="1" applyFill="1"/>
    <xf numFmtId="3" fontId="5" fillId="2" borderId="0" xfId="0" applyNumberFormat="1" applyFont="1" applyFill="1" applyBorder="1"/>
    <xf numFmtId="3" fontId="5" fillId="2" borderId="1" xfId="0" applyNumberFormat="1" applyFont="1" applyFill="1" applyBorder="1"/>
    <xf numFmtId="168" fontId="5" fillId="0" borderId="0" xfId="0" applyNumberFormat="1" applyFont="1"/>
    <xf numFmtId="168" fontId="5" fillId="0" borderId="0" xfId="0" applyNumberFormat="1" applyFont="1" applyAlignment="1">
      <alignment horizontal="center"/>
    </xf>
    <xf numFmtId="173" fontId="5" fillId="0" borderId="0" xfId="0" applyFont="1" applyAlignment="1">
      <alignment horizontal="center"/>
    </xf>
    <xf numFmtId="0" fontId="5" fillId="0" borderId="0" xfId="0" applyNumberFormat="1" applyFont="1" applyAlignment="1">
      <alignment horizontal="left"/>
    </xf>
    <xf numFmtId="172" fontId="5" fillId="0" borderId="0" xfId="0" applyNumberFormat="1" applyFont="1" applyAlignment="1"/>
    <xf numFmtId="172" fontId="5" fillId="2" borderId="0" xfId="0" applyNumberFormat="1" applyFont="1" applyFill="1" applyProtection="1">
      <protection locked="0"/>
    </xf>
    <xf numFmtId="172" fontId="5" fillId="0" borderId="0" xfId="0" applyNumberFormat="1" applyFont="1" applyProtection="1">
      <protection locked="0"/>
    </xf>
    <xf numFmtId="0" fontId="5" fillId="0" borderId="0" xfId="0" applyNumberFormat="1" applyFont="1" applyAlignment="1">
      <alignment horizontal="center"/>
    </xf>
    <xf numFmtId="49" fontId="5" fillId="0" borderId="0" xfId="0" applyNumberFormat="1" applyFont="1" applyAlignment="1">
      <alignment horizontal="left"/>
    </xf>
    <xf numFmtId="49" fontId="5" fillId="0" borderId="0" xfId="0" applyNumberFormat="1" applyFont="1" applyAlignment="1">
      <alignment horizontal="center"/>
    </xf>
    <xf numFmtId="3" fontId="6" fillId="0" borderId="0" xfId="0" applyNumberFormat="1" applyFont="1" applyAlignment="1">
      <alignment horizontal="center"/>
    </xf>
    <xf numFmtId="0" fontId="6" fillId="0" borderId="0" xfId="0" applyNumberFormat="1" applyFont="1" applyAlignment="1" applyProtection="1">
      <alignment horizontal="center"/>
      <protection locked="0"/>
    </xf>
    <xf numFmtId="173" fontId="6" fillId="0" borderId="0" xfId="0" applyFont="1" applyAlignment="1">
      <alignment horizontal="center"/>
    </xf>
    <xf numFmtId="3" fontId="6" fillId="0" borderId="0" xfId="0" applyNumberFormat="1" applyFont="1" applyAlignment="1"/>
    <xf numFmtId="0" fontId="6" fillId="0" borderId="0" xfId="0" applyNumberFormat="1" applyFont="1" applyAlignment="1"/>
    <xf numFmtId="165" fontId="5" fillId="0" borderId="0" xfId="0" applyNumberFormat="1" applyFont="1" applyAlignment="1"/>
    <xf numFmtId="3" fontId="5" fillId="2" borderId="1" xfId="0" applyNumberFormat="1" applyFont="1" applyFill="1" applyBorder="1" applyAlignment="1"/>
    <xf numFmtId="164" fontId="5" fillId="0" borderId="0" xfId="0" applyNumberFormat="1" applyFont="1" applyAlignment="1">
      <alignment horizontal="center"/>
    </xf>
    <xf numFmtId="164" fontId="5" fillId="0" borderId="0" xfId="0" applyNumberFormat="1" applyFont="1" applyFill="1" applyAlignment="1">
      <alignment horizontal="center"/>
    </xf>
    <xf numFmtId="165" fontId="5" fillId="0" borderId="0" xfId="0" applyNumberFormat="1" applyFont="1" applyFill="1" applyAlignment="1">
      <alignment horizontal="right"/>
    </xf>
    <xf numFmtId="3" fontId="5" fillId="2" borderId="0" xfId="0" applyNumberFormat="1" applyFont="1" applyFill="1" applyBorder="1" applyAlignment="1"/>
    <xf numFmtId="173" fontId="5" fillId="0" borderId="1" xfId="0" applyFont="1" applyBorder="1" applyAlignment="1"/>
    <xf numFmtId="3" fontId="5" fillId="0" borderId="2" xfId="0" applyNumberFormat="1" applyFont="1" applyBorder="1" applyAlignment="1"/>
    <xf numFmtId="3" fontId="5" fillId="0" borderId="0" xfId="0" applyNumberFormat="1" applyFont="1" applyBorder="1" applyAlignment="1"/>
    <xf numFmtId="0" fontId="6" fillId="0" borderId="0" xfId="0" applyNumberFormat="1" applyFont="1" applyFill="1" applyAlignment="1" applyProtection="1">
      <alignment horizontal="center"/>
      <protection locked="0"/>
    </xf>
    <xf numFmtId="171" fontId="5" fillId="0" borderId="0" xfId="0" applyNumberFormat="1" applyFont="1" applyFill="1" applyAlignment="1">
      <alignment horizontal="left"/>
    </xf>
    <xf numFmtId="165" fontId="5" fillId="0" borderId="0" xfId="0" applyNumberFormat="1" applyFont="1" applyFill="1" applyAlignment="1"/>
    <xf numFmtId="166" fontId="5" fillId="0" borderId="0" xfId="0" applyNumberFormat="1" applyFont="1" applyFill="1" applyAlignment="1">
      <alignment horizontal="right"/>
    </xf>
    <xf numFmtId="166" fontId="5" fillId="0" borderId="0" xfId="0" applyNumberFormat="1" applyFont="1" applyAlignment="1">
      <alignment horizontal="center"/>
    </xf>
    <xf numFmtId="164" fontId="5" fillId="0" borderId="0" xfId="0" applyNumberFormat="1" applyFont="1" applyAlignment="1">
      <alignment horizontal="left"/>
    </xf>
    <xf numFmtId="10" fontId="5" fillId="0" borderId="0" xfId="0" applyNumberFormat="1" applyFont="1" applyFill="1" applyAlignment="1">
      <alignment horizontal="right"/>
    </xf>
    <xf numFmtId="169" fontId="5" fillId="0" borderId="0" xfId="0" applyNumberFormat="1" applyFont="1" applyFill="1" applyAlignment="1">
      <alignment horizontal="right"/>
    </xf>
    <xf numFmtId="10" fontId="5" fillId="0" borderId="0" xfId="0" applyNumberFormat="1" applyFont="1" applyAlignment="1">
      <alignment horizontal="left"/>
    </xf>
    <xf numFmtId="3" fontId="5" fillId="0" borderId="0" xfId="0" applyNumberFormat="1" applyFont="1" applyFill="1" applyAlignment="1">
      <alignment horizontal="left"/>
    </xf>
    <xf numFmtId="164" fontId="5" fillId="0" borderId="0" xfId="0" applyNumberFormat="1" applyFont="1" applyAlignment="1" applyProtection="1">
      <alignment horizontal="left"/>
      <protection locked="0"/>
    </xf>
    <xf numFmtId="167" fontId="5" fillId="0" borderId="0" xfId="0" applyNumberFormat="1" applyFont="1" applyAlignment="1"/>
    <xf numFmtId="0" fontId="5" fillId="0" borderId="0" xfId="0" applyNumberFormat="1" applyFont="1" applyFill="1" applyAlignment="1" applyProtection="1">
      <protection locked="0"/>
    </xf>
    <xf numFmtId="0" fontId="5" fillId="0" borderId="1" xfId="0" applyNumberFormat="1" applyFont="1" applyFill="1" applyBorder="1" applyProtection="1">
      <protection locked="0"/>
    </xf>
    <xf numFmtId="0" fontId="5" fillId="0" borderId="1" xfId="0" applyNumberFormat="1" applyFont="1" applyFill="1" applyBorder="1"/>
    <xf numFmtId="3" fontId="5" fillId="0" borderId="0" xfId="0" applyNumberFormat="1" applyFont="1" applyFill="1" applyAlignment="1">
      <alignment horizontal="center"/>
    </xf>
    <xf numFmtId="49" fontId="5" fillId="0" borderId="0" xfId="0" applyNumberFormat="1" applyFont="1" applyFill="1"/>
    <xf numFmtId="49" fontId="5" fillId="0" borderId="0" xfId="0" applyNumberFormat="1" applyFont="1" applyFill="1" applyAlignment="1"/>
    <xf numFmtId="49" fontId="5" fillId="0" borderId="0" xfId="0" applyNumberFormat="1" applyFont="1" applyFill="1" applyAlignment="1">
      <alignment horizontal="center"/>
    </xf>
    <xf numFmtId="165" fontId="5" fillId="0" borderId="0" xfId="0" applyNumberFormat="1" applyFont="1" applyFill="1"/>
    <xf numFmtId="166" fontId="5" fillId="0" borderId="0" xfId="0" applyNumberFormat="1" applyFont="1" applyFill="1"/>
    <xf numFmtId="3" fontId="5" fillId="0" borderId="0" xfId="0" applyNumberFormat="1" applyFont="1" applyAlignment="1">
      <alignment horizontal="center"/>
    </xf>
    <xf numFmtId="3" fontId="5" fillId="0" borderId="1" xfId="0" applyNumberFormat="1" applyFont="1" applyBorder="1" applyAlignment="1">
      <alignment horizontal="center"/>
    </xf>
    <xf numFmtId="4" fontId="5" fillId="0" borderId="0" xfId="0" applyNumberFormat="1" applyFont="1" applyAlignment="1"/>
    <xf numFmtId="3" fontId="5" fillId="0" borderId="0" xfId="0" applyNumberFormat="1" applyFont="1" applyBorder="1" applyAlignment="1">
      <alignment horizontal="center"/>
    </xf>
    <xf numFmtId="166" fontId="5" fillId="0" borderId="0" xfId="0" applyNumberFormat="1" applyFont="1" applyAlignment="1" applyProtection="1">
      <alignment horizontal="center"/>
      <protection locked="0"/>
    </xf>
    <xf numFmtId="166" fontId="5" fillId="0" borderId="0" xfId="0" applyNumberFormat="1" applyFont="1" applyFill="1" applyAlignment="1"/>
    <xf numFmtId="0" fontId="5" fillId="0" borderId="1" xfId="0" applyNumberFormat="1" applyFont="1" applyBorder="1" applyAlignment="1"/>
    <xf numFmtId="170" fontId="5" fillId="2" borderId="0" xfId="0" applyNumberFormat="1" applyFont="1" applyFill="1" applyAlignment="1"/>
    <xf numFmtId="42" fontId="5" fillId="2" borderId="0" xfId="0" applyNumberFormat="1" applyFont="1" applyFill="1" applyAlignment="1"/>
    <xf numFmtId="3" fontId="5" fillId="0" borderId="0" xfId="0" applyNumberFormat="1" applyFont="1" applyFill="1" applyAlignment="1" applyProtection="1">
      <protection locked="0"/>
    </xf>
    <xf numFmtId="9" fontId="5" fillId="0" borderId="0" xfId="0" applyNumberFormat="1" applyFont="1" applyAlignment="1"/>
    <xf numFmtId="169" fontId="5" fillId="0" borderId="0" xfId="0" applyNumberFormat="1" applyFont="1" applyAlignment="1"/>
    <xf numFmtId="3" fontId="5" fillId="0" borderId="0" xfId="0" quotePrefix="1" applyNumberFormat="1" applyFont="1" applyAlignment="1"/>
    <xf numFmtId="169" fontId="5" fillId="2" borderId="0" xfId="0" applyNumberFormat="1" applyFont="1" applyFill="1" applyAlignment="1"/>
    <xf numFmtId="169" fontId="5" fillId="0" borderId="1" xfId="0" applyNumberFormat="1" applyFont="1" applyBorder="1" applyAlignment="1"/>
    <xf numFmtId="0" fontId="5" fillId="0" borderId="0" xfId="0" applyNumberFormat="1" applyFont="1" applyBorder="1" applyAlignment="1" applyProtection="1">
      <alignment horizontal="center"/>
      <protection locked="0"/>
    </xf>
    <xf numFmtId="0" fontId="7" fillId="0" borderId="0" xfId="0" applyNumberFormat="1" applyFont="1" applyProtection="1">
      <protection locked="0"/>
    </xf>
    <xf numFmtId="173" fontId="7" fillId="0" borderId="0" xfId="0" applyFont="1" applyAlignment="1"/>
    <xf numFmtId="173" fontId="5" fillId="0" borderId="0" xfId="0" applyFont="1" applyFill="1" applyAlignment="1" applyProtection="1"/>
    <xf numFmtId="38" fontId="5" fillId="2" borderId="0" xfId="0" applyNumberFormat="1" applyFont="1" applyFill="1" applyBorder="1" applyProtection="1">
      <protection locked="0"/>
    </xf>
    <xf numFmtId="38" fontId="5" fillId="0" borderId="0" xfId="0" applyNumberFormat="1" applyFont="1" applyAlignment="1" applyProtection="1"/>
    <xf numFmtId="0" fontId="5" fillId="0" borderId="1" xfId="0" applyNumberFormat="1" applyFont="1" applyBorder="1"/>
    <xf numFmtId="38" fontId="5" fillId="2" borderId="1" xfId="0" applyNumberFormat="1" applyFont="1" applyFill="1" applyBorder="1" applyProtection="1">
      <protection locked="0"/>
    </xf>
    <xf numFmtId="38" fontId="5" fillId="0" borderId="0" xfId="0" applyNumberFormat="1" applyFont="1" applyAlignment="1"/>
    <xf numFmtId="38" fontId="5" fillId="0" borderId="0" xfId="0" applyNumberFormat="1" applyFont="1" applyFill="1" applyBorder="1" applyProtection="1"/>
    <xf numFmtId="170" fontId="5" fillId="0" borderId="0" xfId="0" applyNumberFormat="1" applyFont="1" applyFill="1" applyBorder="1" applyProtection="1"/>
    <xf numFmtId="1" fontId="5" fillId="0" borderId="0" xfId="0" applyNumberFormat="1" applyFont="1" applyFill="1" applyProtection="1"/>
    <xf numFmtId="168" fontId="5" fillId="0" borderId="0" xfId="0" applyNumberFormat="1" applyFont="1" applyProtection="1">
      <protection locked="0"/>
    </xf>
    <xf numFmtId="170" fontId="5" fillId="2" borderId="0" xfId="0" applyNumberFormat="1" applyFont="1" applyFill="1" applyBorder="1" applyProtection="1"/>
    <xf numFmtId="1" fontId="5" fillId="0" borderId="0" xfId="0" applyNumberFormat="1" applyFont="1" applyFill="1" applyAlignment="1" applyProtection="1"/>
    <xf numFmtId="170" fontId="5" fillId="2" borderId="0" xfId="0" applyNumberFormat="1" applyFont="1" applyFill="1" applyBorder="1" applyAlignment="1" applyProtection="1">
      <protection locked="0"/>
    </xf>
    <xf numFmtId="3" fontId="5" fillId="0" borderId="0" xfId="0" applyNumberFormat="1" applyFont="1" applyAlignment="1" applyProtection="1"/>
    <xf numFmtId="3" fontId="5" fillId="0" borderId="0" xfId="0" applyNumberFormat="1" applyFont="1" applyFill="1" applyAlignment="1" applyProtection="1">
      <alignment horizontal="right"/>
      <protection locked="0"/>
    </xf>
    <xf numFmtId="173" fontId="5" fillId="0" borderId="0" xfId="0" applyNumberFormat="1" applyFont="1" applyAlignment="1" applyProtection="1">
      <protection locked="0"/>
    </xf>
    <xf numFmtId="170" fontId="5" fillId="0" borderId="0" xfId="0" applyNumberFormat="1" applyFont="1" applyFill="1" applyBorder="1" applyAlignment="1" applyProtection="1"/>
    <xf numFmtId="3" fontId="5" fillId="0" borderId="0" xfId="0" applyNumberFormat="1" applyFont="1" applyFill="1" applyAlignment="1" applyProtection="1"/>
    <xf numFmtId="170" fontId="5" fillId="0" borderId="0" xfId="0" applyNumberFormat="1" applyFont="1" applyProtection="1">
      <protection locked="0"/>
    </xf>
    <xf numFmtId="0" fontId="5" fillId="0" borderId="0" xfId="0" applyNumberFormat="1" applyFont="1" applyFill="1" applyAlignment="1" applyProtection="1">
      <alignment horizontal="center"/>
      <protection locked="0"/>
    </xf>
    <xf numFmtId="172" fontId="5" fillId="0" borderId="0" xfId="0" applyNumberFormat="1" applyFont="1" applyFill="1" applyProtection="1">
      <protection locked="0"/>
    </xf>
    <xf numFmtId="3" fontId="8" fillId="0" borderId="0" xfId="0" applyNumberFormat="1" applyFont="1" applyAlignment="1"/>
    <xf numFmtId="3" fontId="5" fillId="0" borderId="0" xfId="0" applyNumberFormat="1" applyFont="1" applyFill="1" applyBorder="1" applyAlignment="1"/>
    <xf numFmtId="0" fontId="5" fillId="0" borderId="0" xfId="0" applyNumberFormat="1" applyFont="1" applyBorder="1" applyProtection="1">
      <protection locked="0"/>
    </xf>
    <xf numFmtId="0" fontId="5" fillId="0" borderId="0" xfId="0" applyNumberFormat="1" applyFont="1" applyBorder="1" applyAlignment="1" applyProtection="1">
      <protection locked="0"/>
    </xf>
    <xf numFmtId="0" fontId="5" fillId="2" borderId="0" xfId="0" applyNumberFormat="1" applyFont="1" applyFill="1" applyAlignment="1" applyProtection="1">
      <alignment horizontal="right"/>
      <protection locked="0"/>
    </xf>
    <xf numFmtId="173" fontId="5" fillId="2" borderId="0" xfId="0" applyFont="1" applyFill="1" applyAlignment="1"/>
    <xf numFmtId="0" fontId="5" fillId="0" borderId="0" xfId="0" applyNumberFormat="1" applyFont="1" applyAlignment="1" applyProtection="1">
      <alignment horizontal="left" indent="8"/>
      <protection locked="0"/>
    </xf>
    <xf numFmtId="0" fontId="5" fillId="2" borderId="0" xfId="0" applyNumberFormat="1" applyFont="1" applyFill="1" applyProtection="1">
      <protection locked="0"/>
    </xf>
    <xf numFmtId="173" fontId="5" fillId="0" borderId="0" xfId="0" applyFont="1" applyFill="1" applyBorder="1" applyAlignment="1"/>
    <xf numFmtId="49" fontId="5" fillId="0" borderId="0" xfId="0" applyNumberFormat="1" applyFont="1" applyFill="1" applyBorder="1" applyAlignment="1"/>
    <xf numFmtId="0" fontId="5" fillId="0" borderId="0" xfId="0" applyNumberFormat="1" applyFont="1" applyFill="1" applyBorder="1"/>
    <xf numFmtId="173" fontId="5" fillId="0" borderId="0" xfId="0" applyFont="1" applyBorder="1" applyAlignment="1"/>
    <xf numFmtId="0" fontId="5" fillId="0" borderId="0" xfId="0" applyNumberFormat="1" applyFont="1" applyAlignment="1" applyProtection="1">
      <alignment horizontal="center" vertical="top" wrapText="1"/>
      <protection locked="0"/>
    </xf>
    <xf numFmtId="10" fontId="5" fillId="2" borderId="0" xfId="0" applyNumberFormat="1" applyFont="1" applyFill="1" applyAlignment="1" applyProtection="1">
      <alignment vertical="top" wrapText="1"/>
      <protection locked="0"/>
    </xf>
    <xf numFmtId="173" fontId="5" fillId="0" borderId="0" xfId="0" applyFont="1" applyAlignment="1">
      <alignment horizontal="center" vertical="top" wrapText="1"/>
    </xf>
    <xf numFmtId="173" fontId="5" fillId="0" borderId="0" xfId="0" applyFont="1" applyFill="1" applyAlignment="1">
      <alignment horizontal="center" vertical="top" wrapText="1"/>
    </xf>
    <xf numFmtId="0" fontId="5" fillId="0" borderId="0" xfId="0" applyNumberFormat="1" applyFont="1" applyFill="1" applyAlignment="1" applyProtection="1">
      <alignment horizontal="left" vertical="top" wrapText="1" indent="8"/>
      <protection locked="0"/>
    </xf>
    <xf numFmtId="170" fontId="5" fillId="2" borderId="1" xfId="0" applyNumberFormat="1" applyFont="1" applyFill="1" applyBorder="1" applyAlignment="1" applyProtection="1">
      <protection locked="0"/>
    </xf>
    <xf numFmtId="0" fontId="5" fillId="0" borderId="1" xfId="0" applyNumberFormat="1" applyFont="1" applyFill="1" applyBorder="1" applyAlignment="1" applyProtection="1">
      <protection locked="0"/>
    </xf>
    <xf numFmtId="0" fontId="5" fillId="0" borderId="0" xfId="0" applyNumberFormat="1" applyFont="1" applyFill="1" applyAlignment="1">
      <alignment horizontal="left"/>
    </xf>
    <xf numFmtId="172" fontId="5" fillId="0" borderId="0" xfId="0" applyNumberFormat="1" applyFont="1" applyFill="1" applyAlignment="1"/>
    <xf numFmtId="42" fontId="5" fillId="0" borderId="0" xfId="0" applyNumberFormat="1" applyFont="1" applyFill="1"/>
    <xf numFmtId="173" fontId="0" fillId="0" borderId="3" xfId="0" applyBorder="1" applyAlignment="1"/>
    <xf numFmtId="173" fontId="0" fillId="0" borderId="0" xfId="0" applyFont="1" applyBorder="1" applyAlignment="1"/>
    <xf numFmtId="173" fontId="0" fillId="0" borderId="4" xfId="0" applyBorder="1" applyAlignment="1"/>
    <xf numFmtId="173" fontId="0" fillId="0" borderId="0" xfId="0" applyBorder="1" applyAlignment="1"/>
    <xf numFmtId="3" fontId="5" fillId="0" borderId="2" xfId="0" applyNumberFormat="1" applyFont="1" applyFill="1" applyBorder="1" applyAlignment="1"/>
    <xf numFmtId="0" fontId="0" fillId="0" borderId="0" xfId="0" applyNumberFormat="1" applyAlignment="1"/>
    <xf numFmtId="0" fontId="16" fillId="0" borderId="0" xfId="0" applyNumberFormat="1" applyFont="1" applyAlignment="1"/>
    <xf numFmtId="0" fontId="16" fillId="0" borderId="0" xfId="0" applyNumberFormat="1" applyFont="1" applyAlignment="1">
      <alignment horizontal="center"/>
    </xf>
    <xf numFmtId="0" fontId="17" fillId="0" borderId="0" xfId="0" applyNumberFormat="1" applyFont="1" applyAlignment="1"/>
    <xf numFmtId="0" fontId="17" fillId="0" borderId="0" xfId="0" applyNumberFormat="1" applyFont="1"/>
    <xf numFmtId="0" fontId="17" fillId="0" borderId="0" xfId="0" applyNumberFormat="1" applyFont="1" applyAlignment="1">
      <alignment horizontal="center"/>
    </xf>
    <xf numFmtId="175" fontId="17" fillId="0" borderId="0" xfId="1" applyNumberFormat="1" applyFont="1"/>
    <xf numFmtId="0" fontId="16" fillId="0" borderId="0" xfId="0" applyNumberFormat="1" applyFont="1"/>
    <xf numFmtId="174" fontId="17" fillId="0" borderId="0" xfId="0" applyNumberFormat="1" applyFont="1" applyAlignment="1">
      <alignment horizontal="center"/>
    </xf>
    <xf numFmtId="175" fontId="17" fillId="0" borderId="0" xfId="0" applyNumberFormat="1" applyFont="1" applyAlignment="1">
      <alignment horizontal="center"/>
    </xf>
    <xf numFmtId="174" fontId="17" fillId="0" borderId="0" xfId="2" applyNumberFormat="1" applyFont="1" applyAlignment="1"/>
    <xf numFmtId="174" fontId="17" fillId="0" borderId="0" xfId="2" applyNumberFormat="1" applyFont="1"/>
    <xf numFmtId="174" fontId="17" fillId="0" borderId="0" xfId="2" applyNumberFormat="1" applyFont="1" applyBorder="1"/>
    <xf numFmtId="174" fontId="17" fillId="0" borderId="6" xfId="2" applyNumberFormat="1" applyFont="1" applyBorder="1"/>
    <xf numFmtId="175" fontId="17" fillId="0" borderId="6" xfId="1" applyNumberFormat="1" applyFont="1" applyBorder="1"/>
    <xf numFmtId="175" fontId="16" fillId="0" borderId="0" xfId="1" applyNumberFormat="1" applyFont="1" applyBorder="1"/>
    <xf numFmtId="176" fontId="17" fillId="0" borderId="0" xfId="2" applyNumberFormat="1" applyFont="1"/>
    <xf numFmtId="175" fontId="17" fillId="0" borderId="0" xfId="1" applyNumberFormat="1" applyFont="1" applyBorder="1"/>
    <xf numFmtId="175" fontId="17" fillId="0" borderId="0" xfId="0" applyNumberFormat="1" applyFont="1"/>
    <xf numFmtId="175" fontId="16" fillId="0" borderId="2" xfId="0" applyNumberFormat="1" applyFont="1" applyBorder="1"/>
    <xf numFmtId="177" fontId="0" fillId="0" borderId="0" xfId="0" applyNumberFormat="1" applyAlignment="1"/>
    <xf numFmtId="43" fontId="0" fillId="0" borderId="0" xfId="0" applyNumberFormat="1" applyAlignment="1"/>
    <xf numFmtId="177" fontId="0" fillId="0" borderId="0" xfId="0" applyNumberFormat="1" applyAlignment="1">
      <alignment horizontal="center"/>
    </xf>
    <xf numFmtId="0" fontId="0" fillId="0" borderId="0" xfId="0" applyNumberFormat="1" applyAlignment="1">
      <alignment horizontal="center"/>
    </xf>
    <xf numFmtId="173" fontId="18" fillId="0" borderId="0" xfId="0" applyFont="1" applyAlignment="1"/>
    <xf numFmtId="173" fontId="0" fillId="0" borderId="6" xfId="0" applyBorder="1" applyAlignment="1"/>
    <xf numFmtId="49" fontId="5" fillId="3" borderId="0" xfId="0" applyNumberFormat="1" applyFont="1" applyFill="1"/>
    <xf numFmtId="0" fontId="5" fillId="3" borderId="0" xfId="0" applyNumberFormat="1" applyFont="1" applyFill="1"/>
    <xf numFmtId="42" fontId="5" fillId="0" borderId="0" xfId="0" applyNumberFormat="1" applyFont="1" applyBorder="1" applyAlignment="1" applyProtection="1">
      <alignment horizontal="right"/>
      <protection locked="0"/>
    </xf>
    <xf numFmtId="42" fontId="5" fillId="3" borderId="0" xfId="0" applyNumberFormat="1" applyFont="1" applyFill="1" applyBorder="1" applyAlignment="1" applyProtection="1">
      <alignment horizontal="right"/>
      <protection locked="0"/>
    </xf>
    <xf numFmtId="42" fontId="5" fillId="3" borderId="1" xfId="0" applyNumberFormat="1" applyFont="1" applyFill="1" applyBorder="1" applyAlignment="1" applyProtection="1">
      <alignment horizontal="right"/>
      <protection locked="0"/>
    </xf>
    <xf numFmtId="0" fontId="5" fillId="0" borderId="0" xfId="0" applyNumberFormat="1" applyFont="1" applyFill="1" applyAlignment="1">
      <alignment vertical="top"/>
    </xf>
    <xf numFmtId="0" fontId="5" fillId="3" borderId="0" xfId="0" applyNumberFormat="1" applyFont="1" applyFill="1" applyAlignment="1" applyProtection="1">
      <protection locked="0"/>
    </xf>
    <xf numFmtId="173" fontId="0" fillId="0" borderId="0" xfId="0" applyAlignment="1">
      <alignment horizontal="center"/>
    </xf>
    <xf numFmtId="173" fontId="0" fillId="0" borderId="15" xfId="0" applyBorder="1" applyAlignment="1">
      <alignment horizontal="center"/>
    </xf>
    <xf numFmtId="173" fontId="0" fillId="0" borderId="16" xfId="0" applyBorder="1" applyAlignment="1">
      <alignment horizontal="center"/>
    </xf>
    <xf numFmtId="173" fontId="18" fillId="0" borderId="8" xfId="0" applyFont="1" applyBorder="1" applyAlignment="1">
      <alignment horizontal="center"/>
    </xf>
    <xf numFmtId="173" fontId="18" fillId="0" borderId="9" xfId="0" applyFont="1" applyBorder="1" applyAlignment="1">
      <alignment horizontal="center"/>
    </xf>
    <xf numFmtId="173" fontId="18" fillId="0" borderId="10" xfId="0" applyFont="1" applyBorder="1" applyAlignment="1"/>
    <xf numFmtId="173" fontId="18" fillId="0" borderId="5" xfId="0" applyFont="1" applyBorder="1" applyAlignment="1">
      <alignment horizontal="center"/>
    </xf>
    <xf numFmtId="173" fontId="18" fillId="0" borderId="6" xfId="0" applyFont="1" applyBorder="1" applyAlignment="1">
      <alignment horizontal="center"/>
    </xf>
    <xf numFmtId="173" fontId="18" fillId="0" borderId="7" xfId="0" applyFont="1" applyBorder="1" applyAlignment="1">
      <alignment horizontal="center"/>
    </xf>
    <xf numFmtId="0" fontId="0" fillId="0" borderId="15" xfId="2" applyNumberFormat="1" applyFont="1" applyBorder="1" applyAlignment="1">
      <alignment horizontal="center"/>
    </xf>
    <xf numFmtId="0" fontId="0" fillId="0" borderId="17" xfId="2" applyNumberFormat="1" applyFont="1" applyBorder="1" applyAlignment="1">
      <alignment horizontal="center"/>
    </xf>
    <xf numFmtId="173" fontId="0" fillId="0" borderId="16" xfId="0" applyBorder="1" applyAlignment="1"/>
    <xf numFmtId="173" fontId="0" fillId="0" borderId="9" xfId="0" applyBorder="1" applyAlignment="1"/>
    <xf numFmtId="170" fontId="0" fillId="0" borderId="9" xfId="0" applyNumberFormat="1" applyBorder="1" applyAlignment="1"/>
    <xf numFmtId="170" fontId="0" fillId="0" borderId="10" xfId="0" applyNumberFormat="1" applyBorder="1" applyAlignment="1"/>
    <xf numFmtId="170" fontId="0" fillId="0" borderId="0" xfId="0" applyNumberFormat="1" applyBorder="1" applyAlignment="1"/>
    <xf numFmtId="170" fontId="0" fillId="0" borderId="4" xfId="0" applyNumberFormat="1" applyBorder="1" applyAlignment="1"/>
    <xf numFmtId="173" fontId="0" fillId="0" borderId="5" xfId="0" applyBorder="1" applyAlignment="1"/>
    <xf numFmtId="173" fontId="0" fillId="0" borderId="7" xfId="0" applyBorder="1" applyAlignment="1"/>
    <xf numFmtId="173" fontId="18" fillId="0" borderId="0" xfId="0" applyFont="1" applyBorder="1" applyAlignment="1">
      <alignment horizontal="center"/>
    </xf>
    <xf numFmtId="173" fontId="0" fillId="0" borderId="15" xfId="0" applyBorder="1" applyAlignment="1"/>
    <xf numFmtId="0" fontId="0" fillId="0" borderId="15" xfId="0" applyNumberFormat="1" applyBorder="1" applyAlignment="1">
      <alignment horizontal="center"/>
    </xf>
    <xf numFmtId="0" fontId="0" fillId="0" borderId="17" xfId="0" applyNumberFormat="1" applyBorder="1" applyAlignment="1">
      <alignment horizontal="center"/>
    </xf>
    <xf numFmtId="173" fontId="0" fillId="0" borderId="17" xfId="0" applyBorder="1" applyAlignment="1"/>
    <xf numFmtId="0" fontId="0" fillId="0" borderId="8" xfId="0" applyNumberFormat="1" applyBorder="1" applyAlignment="1">
      <alignment horizontal="center"/>
    </xf>
    <xf numFmtId="180" fontId="0" fillId="0" borderId="8" xfId="0" applyNumberFormat="1" applyBorder="1" applyAlignment="1">
      <alignment horizontal="left"/>
    </xf>
    <xf numFmtId="180" fontId="0" fillId="0" borderId="3" xfId="0" applyNumberFormat="1" applyBorder="1" applyAlignment="1">
      <alignment horizontal="left"/>
    </xf>
    <xf numFmtId="174" fontId="0" fillId="0" borderId="1" xfId="2" applyNumberFormat="1" applyFont="1" applyBorder="1" applyAlignment="1"/>
    <xf numFmtId="173" fontId="18" fillId="0" borderId="8" xfId="0" applyFont="1" applyBorder="1" applyAlignment="1"/>
    <xf numFmtId="173" fontId="18" fillId="0" borderId="10" xfId="0" applyFont="1" applyBorder="1" applyAlignment="1">
      <alignment horizontal="center"/>
    </xf>
    <xf numFmtId="173" fontId="18" fillId="0" borderId="5" xfId="0" applyFont="1" applyBorder="1" applyAlignment="1"/>
    <xf numFmtId="174" fontId="0" fillId="0" borderId="9" xfId="2" applyNumberFormat="1" applyFont="1" applyBorder="1" applyAlignment="1"/>
    <xf numFmtId="174" fontId="0" fillId="0" borderId="10" xfId="2" applyNumberFormat="1" applyFont="1" applyBorder="1" applyAlignment="1"/>
    <xf numFmtId="174" fontId="0" fillId="0" borderId="0" xfId="2" applyNumberFormat="1" applyFont="1" applyBorder="1" applyAlignment="1"/>
    <xf numFmtId="174" fontId="0" fillId="0" borderId="4" xfId="2" applyNumberFormat="1" applyFont="1" applyBorder="1" applyAlignment="1"/>
    <xf numFmtId="174" fontId="0" fillId="0" borderId="18" xfId="2" applyNumberFormat="1" applyFont="1" applyBorder="1" applyAlignment="1"/>
    <xf numFmtId="173" fontId="18" fillId="0" borderId="3" xfId="0" applyFont="1" applyBorder="1" applyAlignment="1"/>
    <xf numFmtId="174" fontId="18" fillId="0" borderId="0" xfId="2" applyNumberFormat="1" applyFont="1" applyBorder="1" applyAlignment="1"/>
    <xf numFmtId="173" fontId="0" fillId="0" borderId="17" xfId="0" applyBorder="1" applyAlignment="1">
      <alignment horizontal="center"/>
    </xf>
    <xf numFmtId="173" fontId="18" fillId="0" borderId="0" xfId="0" applyFont="1" applyBorder="1" applyAlignment="1"/>
    <xf numFmtId="173" fontId="0" fillId="0" borderId="8" xfId="0" applyBorder="1" applyAlignment="1"/>
    <xf numFmtId="173" fontId="18" fillId="0" borderId="4" xfId="0" applyFont="1" applyBorder="1" applyAlignment="1"/>
    <xf numFmtId="173" fontId="0" fillId="0" borderId="18" xfId="0" applyBorder="1" applyAlignment="1"/>
    <xf numFmtId="174" fontId="18" fillId="0" borderId="4" xfId="2" applyNumberFormat="1" applyFont="1" applyBorder="1" applyAlignment="1"/>
    <xf numFmtId="173" fontId="18" fillId="0" borderId="15" xfId="0" applyFont="1" applyBorder="1" applyAlignment="1"/>
    <xf numFmtId="173" fontId="18" fillId="0" borderId="16" xfId="0" applyFont="1" applyBorder="1" applyAlignment="1"/>
    <xf numFmtId="173" fontId="0" fillId="0" borderId="10" xfId="0" applyBorder="1" applyAlignment="1"/>
    <xf numFmtId="170" fontId="0" fillId="0" borderId="18" xfId="0" applyNumberFormat="1" applyBorder="1" applyAlignment="1"/>
    <xf numFmtId="173" fontId="18" fillId="0" borderId="17" xfId="0" applyFont="1" applyBorder="1" applyAlignment="1"/>
    <xf numFmtId="170" fontId="0" fillId="0" borderId="17" xfId="0" applyNumberFormat="1" applyBorder="1" applyAlignment="1"/>
    <xf numFmtId="170" fontId="0" fillId="0" borderId="16" xfId="0" applyNumberFormat="1" applyBorder="1" applyAlignment="1"/>
    <xf numFmtId="10" fontId="0" fillId="0" borderId="17" xfId="3" applyNumberFormat="1" applyFont="1" applyBorder="1" applyAlignment="1"/>
    <xf numFmtId="10" fontId="0" fillId="0" borderId="16" xfId="3" applyNumberFormat="1" applyFont="1" applyBorder="1" applyAlignment="1"/>
    <xf numFmtId="170" fontId="0" fillId="0" borderId="21" xfId="0" applyNumberFormat="1" applyBorder="1" applyAlignment="1"/>
    <xf numFmtId="10" fontId="0" fillId="0" borderId="21" xfId="3" applyNumberFormat="1" applyFont="1" applyBorder="1" applyAlignment="1"/>
    <xf numFmtId="173" fontId="18" fillId="0" borderId="9" xfId="0" applyFont="1" applyBorder="1" applyAlignment="1">
      <alignment horizontal="center"/>
    </xf>
    <xf numFmtId="173" fontId="18" fillId="0" borderId="10" xfId="0" applyFont="1" applyBorder="1" applyAlignment="1">
      <alignment horizontal="center"/>
    </xf>
    <xf numFmtId="170" fontId="18" fillId="0" borderId="0" xfId="0" applyNumberFormat="1" applyFont="1" applyBorder="1" applyAlignment="1"/>
    <xf numFmtId="170" fontId="18" fillId="0" borderId="4" xfId="0" applyNumberFormat="1" applyFont="1" applyBorder="1" applyAlignment="1"/>
    <xf numFmtId="0" fontId="0" fillId="0" borderId="3" xfId="0" applyNumberFormat="1" applyBorder="1" applyAlignment="1">
      <alignment horizontal="center"/>
    </xf>
    <xf numFmtId="173" fontId="0" fillId="0" borderId="8" xfId="0" applyBorder="1" applyAlignment="1">
      <alignment horizontal="center"/>
    </xf>
    <xf numFmtId="173" fontId="0" fillId="0" borderId="3" xfId="0" applyBorder="1" applyAlignment="1">
      <alignment horizontal="center"/>
    </xf>
    <xf numFmtId="173" fontId="18" fillId="0" borderId="9" xfId="0" applyFont="1" applyBorder="1" applyAlignment="1"/>
    <xf numFmtId="173" fontId="0" fillId="0" borderId="1" xfId="0" applyBorder="1" applyAlignment="1"/>
    <xf numFmtId="181" fontId="5" fillId="0" borderId="0" xfId="0" applyNumberFormat="1" applyFont="1"/>
    <xf numFmtId="173" fontId="0" fillId="0" borderId="5" xfId="0" applyBorder="1" applyAlignment="1">
      <alignment horizontal="center"/>
    </xf>
    <xf numFmtId="3" fontId="5" fillId="3" borderId="0" xfId="0" applyNumberFormat="1" applyFont="1" applyFill="1" applyAlignment="1"/>
    <xf numFmtId="173" fontId="18" fillId="0" borderId="9" xfId="0" applyFont="1" applyBorder="1" applyAlignment="1">
      <alignment horizontal="center"/>
    </xf>
    <xf numFmtId="0" fontId="0" fillId="0" borderId="8" xfId="0" applyNumberFormat="1" applyBorder="1" applyAlignment="1">
      <alignment horizontal="center"/>
    </xf>
    <xf numFmtId="3" fontId="0" fillId="0" borderId="15" xfId="0" applyNumberFormat="1" applyBorder="1" applyAlignment="1">
      <alignment horizontal="center"/>
    </xf>
    <xf numFmtId="3" fontId="0" fillId="0" borderId="17" xfId="0" applyNumberFormat="1" applyBorder="1" applyAlignment="1">
      <alignment horizontal="center"/>
    </xf>
    <xf numFmtId="3" fontId="0" fillId="0" borderId="9" xfId="0" applyNumberFormat="1" applyBorder="1" applyAlignment="1"/>
    <xf numFmtId="3" fontId="0" fillId="0" borderId="10" xfId="0" applyNumberFormat="1" applyBorder="1" applyAlignment="1"/>
    <xf numFmtId="3" fontId="0" fillId="0" borderId="0" xfId="0" applyNumberFormat="1" applyBorder="1" applyAlignment="1"/>
    <xf numFmtId="3" fontId="0" fillId="0" borderId="4" xfId="0" applyNumberFormat="1" applyBorder="1" applyAlignment="1"/>
    <xf numFmtId="173" fontId="18" fillId="0" borderId="0" xfId="0" applyFont="1" applyFill="1" applyBorder="1" applyAlignment="1">
      <alignment horizontal="center"/>
    </xf>
    <xf numFmtId="3" fontId="0" fillId="0" borderId="0" xfId="0" applyNumberFormat="1" applyFill="1" applyBorder="1" applyAlignment="1"/>
    <xf numFmtId="173" fontId="0" fillId="0" borderId="9" xfId="0" applyBorder="1" applyAlignment="1">
      <alignment horizontal="center"/>
    </xf>
    <xf numFmtId="173" fontId="18" fillId="0" borderId="6" xfId="0" applyFont="1" applyFill="1" applyBorder="1" applyAlignment="1">
      <alignment horizontal="center"/>
    </xf>
    <xf numFmtId="173" fontId="18" fillId="0" borderId="7" xfId="0" applyFont="1" applyFill="1" applyBorder="1" applyAlignment="1">
      <alignment horizontal="center"/>
    </xf>
    <xf numFmtId="3" fontId="0" fillId="0" borderId="9" xfId="0" applyNumberFormat="1" applyFill="1" applyBorder="1" applyAlignment="1"/>
    <xf numFmtId="3" fontId="0" fillId="0" borderId="6" xfId="0" applyNumberFormat="1" applyBorder="1" applyAlignment="1"/>
    <xf numFmtId="3" fontId="0" fillId="0" borderId="6" xfId="0" applyNumberFormat="1" applyFill="1" applyBorder="1" applyAlignment="1"/>
    <xf numFmtId="3" fontId="0" fillId="0" borderId="7" xfId="0" applyNumberFormat="1" applyBorder="1" applyAlignment="1"/>
    <xf numFmtId="3" fontId="18" fillId="0" borderId="2" xfId="0" applyNumberFormat="1" applyFont="1" applyBorder="1" applyAlignment="1"/>
    <xf numFmtId="3" fontId="18" fillId="0" borderId="22" xfId="0" applyNumberFormat="1" applyFont="1" applyBorder="1" applyAlignment="1"/>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73" fontId="18" fillId="0" borderId="4" xfId="0" applyFont="1" applyBorder="1" applyAlignment="1">
      <alignment horizontal="center"/>
    </xf>
    <xf numFmtId="173" fontId="18" fillId="0" borderId="9" xfId="0" applyFont="1" applyBorder="1" applyAlignment="1">
      <alignment horizontal="center"/>
    </xf>
    <xf numFmtId="170" fontId="0" fillId="0" borderId="23" xfId="0" applyNumberFormat="1" applyBorder="1" applyAlignment="1"/>
    <xf numFmtId="171" fontId="0" fillId="0" borderId="8" xfId="0" applyNumberFormat="1" applyBorder="1" applyAlignment="1">
      <alignment horizontal="left"/>
    </xf>
    <xf numFmtId="171" fontId="0" fillId="0" borderId="3" xfId="0" applyNumberFormat="1" applyBorder="1" applyAlignment="1">
      <alignment horizontal="left"/>
    </xf>
    <xf numFmtId="171" fontId="0" fillId="0" borderId="8" xfId="0" applyNumberFormat="1" applyBorder="1" applyAlignment="1">
      <alignment horizontal="right"/>
    </xf>
    <xf numFmtId="171" fontId="0" fillId="0" borderId="3" xfId="0" applyNumberFormat="1" applyBorder="1" applyAlignment="1">
      <alignment horizontal="right"/>
    </xf>
    <xf numFmtId="37" fontId="0" fillId="0" borderId="0" xfId="0" applyNumberFormat="1" applyAlignment="1"/>
    <xf numFmtId="3" fontId="0" fillId="0" borderId="0" xfId="0" applyNumberFormat="1" applyAlignment="1"/>
    <xf numFmtId="3" fontId="0" fillId="0" borderId="2" xfId="0" applyNumberFormat="1" applyBorder="1" applyAlignment="1"/>
    <xf numFmtId="170" fontId="0" fillId="0" borderId="0" xfId="0" applyNumberFormat="1" applyAlignment="1"/>
    <xf numFmtId="0" fontId="0" fillId="0" borderId="16" xfId="0" applyNumberFormat="1" applyBorder="1" applyAlignment="1">
      <alignment horizontal="center"/>
    </xf>
    <xf numFmtId="171" fontId="0" fillId="0" borderId="3" xfId="0" applyNumberFormat="1" applyBorder="1" applyAlignment="1"/>
    <xf numFmtId="171" fontId="0" fillId="0" borderId="5" xfId="0" applyNumberFormat="1" applyBorder="1" applyAlignment="1"/>
    <xf numFmtId="170" fontId="0" fillId="0" borderId="7" xfId="0" applyNumberFormat="1" applyBorder="1" applyAlignment="1"/>
    <xf numFmtId="171" fontId="0" fillId="0" borderId="17" xfId="0" applyNumberFormat="1" applyBorder="1" applyAlignment="1">
      <alignment horizontal="right"/>
    </xf>
    <xf numFmtId="1" fontId="18" fillId="0" borderId="7" xfId="0" applyNumberFormat="1" applyFont="1" applyBorder="1" applyAlignment="1">
      <alignment horizontal="center"/>
    </xf>
    <xf numFmtId="0" fontId="19" fillId="4" borderId="0" xfId="0" applyNumberFormat="1" applyFont="1" applyFill="1" applyBorder="1" applyAlignment="1">
      <alignment horizontal="left"/>
    </xf>
    <xf numFmtId="0" fontId="0" fillId="4" borderId="0" xfId="0" applyNumberFormat="1" applyFill="1" applyBorder="1" applyAlignment="1">
      <alignment horizontal="centerContinuous"/>
    </xf>
    <xf numFmtId="0" fontId="0" fillId="0" borderId="0" xfId="0" applyNumberFormat="1"/>
    <xf numFmtId="0" fontId="20" fillId="4" borderId="0" xfId="0" applyNumberFormat="1" applyFont="1" applyFill="1" applyBorder="1" applyAlignment="1"/>
    <xf numFmtId="0" fontId="0" fillId="4" borderId="0" xfId="0" applyNumberFormat="1" applyFill="1"/>
    <xf numFmtId="0" fontId="0" fillId="5" borderId="0" xfId="0" applyNumberFormat="1" applyFill="1"/>
    <xf numFmtId="0" fontId="0" fillId="5" borderId="0" xfId="0" applyNumberFormat="1" applyFill="1" applyBorder="1" applyAlignment="1">
      <alignment horizontal="centerContinuous"/>
    </xf>
    <xf numFmtId="0" fontId="21" fillId="4" borderId="0" xfId="0" applyNumberFormat="1" applyFont="1" applyFill="1" applyBorder="1" applyAlignment="1">
      <alignment horizontal="center"/>
    </xf>
    <xf numFmtId="0" fontId="21" fillId="5" borderId="0" xfId="0" applyNumberFormat="1" applyFont="1" applyFill="1" applyBorder="1" applyAlignment="1">
      <alignment horizontal="center"/>
    </xf>
    <xf numFmtId="0" fontId="21" fillId="4" borderId="0" xfId="0" applyNumberFormat="1" applyFont="1" applyFill="1" applyBorder="1" applyAlignment="1">
      <alignment horizontal="centerContinuous"/>
    </xf>
    <xf numFmtId="0" fontId="21" fillId="5" borderId="1" xfId="0" applyNumberFormat="1" applyFont="1" applyFill="1" applyBorder="1" applyAlignment="1">
      <alignment horizontal="centerContinuous"/>
    </xf>
    <xf numFmtId="0" fontId="0" fillId="5" borderId="1" xfId="0" applyNumberFormat="1" applyFill="1" applyBorder="1" applyAlignment="1">
      <alignment horizontal="centerContinuous"/>
    </xf>
    <xf numFmtId="0" fontId="22" fillId="6" borderId="0" xfId="0" applyNumberFormat="1" applyFont="1" applyFill="1" applyBorder="1" applyAlignment="1">
      <alignment horizontal="centerContinuous"/>
    </xf>
    <xf numFmtId="0" fontId="0" fillId="6" borderId="0" xfId="0" applyNumberFormat="1" applyFill="1" applyBorder="1" applyAlignment="1">
      <alignment horizontal="centerContinuous"/>
    </xf>
    <xf numFmtId="0" fontId="0" fillId="4" borderId="0" xfId="0" applyNumberFormat="1" applyFill="1" applyBorder="1" applyAlignment="1">
      <alignment horizontal="center"/>
    </xf>
    <xf numFmtId="0" fontId="21" fillId="5" borderId="0" xfId="0" applyNumberFormat="1" applyFont="1" applyFill="1" applyAlignment="1">
      <alignment horizontal="center"/>
    </xf>
    <xf numFmtId="178" fontId="21" fillId="5" borderId="0" xfId="0" applyNumberFormat="1" applyFont="1" applyFill="1" applyAlignment="1">
      <alignment horizontal="center"/>
    </xf>
    <xf numFmtId="0" fontId="21" fillId="4" borderId="0" xfId="0" quotePrefix="1" applyNumberFormat="1" applyFont="1" applyFill="1" applyBorder="1" applyAlignment="1">
      <alignment horizontal="center"/>
    </xf>
    <xf numFmtId="0" fontId="0" fillId="4" borderId="0" xfId="0" applyNumberFormat="1" applyFill="1" applyAlignment="1">
      <alignment horizontal="center"/>
    </xf>
    <xf numFmtId="9" fontId="21" fillId="4" borderId="0" xfId="0" applyNumberFormat="1" applyFont="1" applyFill="1" applyBorder="1" applyAlignment="1">
      <alignment horizontal="centerContinuous"/>
    </xf>
    <xf numFmtId="179" fontId="23" fillId="5" borderId="0" xfId="3" applyNumberFormat="1" applyFont="1" applyFill="1" applyAlignment="1">
      <alignment horizontal="center"/>
    </xf>
    <xf numFmtId="179" fontId="22" fillId="5" borderId="0" xfId="3" applyNumberFormat="1" applyFont="1" applyFill="1" applyAlignment="1">
      <alignment horizontal="center"/>
    </xf>
    <xf numFmtId="164" fontId="22" fillId="0" borderId="0" xfId="3" applyNumberFormat="1" applyFont="1"/>
    <xf numFmtId="179" fontId="24" fillId="5" borderId="0" xfId="3" applyNumberFormat="1" applyFont="1" applyFill="1"/>
    <xf numFmtId="179" fontId="25" fillId="5" borderId="0" xfId="3" applyNumberFormat="1" applyFont="1" applyFill="1" applyAlignment="1">
      <alignment horizontal="center"/>
    </xf>
    <xf numFmtId="179" fontId="22" fillId="5" borderId="0" xfId="3" applyNumberFormat="1" applyFont="1" applyFill="1"/>
    <xf numFmtId="0" fontId="26" fillId="0" borderId="0" xfId="0" applyNumberFormat="1" applyFont="1"/>
    <xf numFmtId="10" fontId="0" fillId="0" borderId="0" xfId="3" applyNumberFormat="1" applyFont="1"/>
    <xf numFmtId="174" fontId="0" fillId="0" borderId="0" xfId="2" applyNumberFormat="1" applyFont="1"/>
    <xf numFmtId="37" fontId="0" fillId="0" borderId="0" xfId="0" applyNumberFormat="1"/>
    <xf numFmtId="37" fontId="22" fillId="0" borderId="0" xfId="0" applyNumberFormat="1" applyFont="1"/>
    <xf numFmtId="37" fontId="0" fillId="0" borderId="0" xfId="0" quotePrefix="1" applyNumberFormat="1"/>
    <xf numFmtId="37" fontId="0" fillId="0" borderId="0" xfId="0" applyNumberFormat="1" applyBorder="1"/>
    <xf numFmtId="37" fontId="0" fillId="0" borderId="6" xfId="0" applyNumberFormat="1" applyBorder="1"/>
    <xf numFmtId="37" fontId="0" fillId="0" borderId="13" xfId="0" applyNumberFormat="1" applyBorder="1"/>
    <xf numFmtId="10" fontId="21" fillId="0" borderId="24" xfId="0" applyNumberFormat="1" applyFont="1" applyBorder="1"/>
    <xf numFmtId="10" fontId="21" fillId="0" borderId="0" xfId="0" applyNumberFormat="1" applyFont="1" applyBorder="1"/>
    <xf numFmtId="37" fontId="0" fillId="0" borderId="25" xfId="0" applyNumberFormat="1" applyBorder="1"/>
    <xf numFmtId="179" fontId="21" fillId="0" borderId="0" xfId="0" applyNumberFormat="1" applyFont="1"/>
    <xf numFmtId="164" fontId="21" fillId="0" borderId="0" xfId="3" applyNumberFormat="1" applyFont="1"/>
    <xf numFmtId="179" fontId="0" fillId="0" borderId="0" xfId="0" applyNumberFormat="1"/>
    <xf numFmtId="37" fontId="0" fillId="0" borderId="24" xfId="0" applyNumberFormat="1" applyBorder="1"/>
    <xf numFmtId="0" fontId="22" fillId="0" borderId="0" xfId="0" applyNumberFormat="1" applyFont="1"/>
    <xf numFmtId="179" fontId="22" fillId="0" borderId="24" xfId="0" applyNumberFormat="1" applyFont="1" applyBorder="1"/>
    <xf numFmtId="179" fontId="22" fillId="0" borderId="0" xfId="0" applyNumberFormat="1" applyFont="1" applyBorder="1"/>
    <xf numFmtId="179" fontId="24" fillId="5" borderId="0" xfId="3" applyNumberFormat="1" applyFont="1" applyFill="1" applyAlignment="1">
      <alignment horizontal="right"/>
    </xf>
    <xf numFmtId="10" fontId="0" fillId="0" borderId="0" xfId="0" applyNumberFormat="1" applyBorder="1"/>
    <xf numFmtId="179" fontId="21" fillId="0" borderId="0" xfId="3" applyNumberFormat="1" applyFont="1"/>
    <xf numFmtId="0" fontId="21" fillId="0" borderId="0" xfId="0" applyNumberFormat="1" applyFont="1" applyFill="1"/>
    <xf numFmtId="0" fontId="0" fillId="0" borderId="0" xfId="0" applyNumberFormat="1" applyBorder="1"/>
    <xf numFmtId="0" fontId="0" fillId="0" borderId="0" xfId="0" applyNumberFormat="1" applyBorder="1" applyAlignment="1">
      <alignment horizontal="right"/>
    </xf>
    <xf numFmtId="0" fontId="0" fillId="0" borderId="24" xfId="0" applyNumberFormat="1" applyBorder="1" applyAlignment="1">
      <alignment horizontal="right"/>
    </xf>
    <xf numFmtId="0" fontId="21" fillId="0" borderId="0" xfId="0" applyNumberFormat="1" applyFont="1"/>
    <xf numFmtId="0" fontId="27" fillId="5" borderId="0" xfId="0" applyNumberFormat="1" applyFont="1" applyFill="1"/>
    <xf numFmtId="37" fontId="0" fillId="0" borderId="24" xfId="0" applyNumberFormat="1" applyBorder="1" applyAlignment="1">
      <alignment horizontal="right"/>
    </xf>
    <xf numFmtId="179" fontId="28" fillId="0" borderId="25" xfId="0" applyNumberFormat="1" applyFont="1" applyBorder="1"/>
    <xf numFmtId="179" fontId="0" fillId="0" borderId="12" xfId="0" applyNumberFormat="1" applyBorder="1"/>
    <xf numFmtId="179" fontId="21" fillId="0" borderId="14" xfId="3" applyNumberFormat="1" applyFont="1" applyBorder="1" applyAlignment="1">
      <alignment horizontal="right"/>
    </xf>
    <xf numFmtId="0" fontId="0" fillId="0" borderId="26" xfId="0" applyNumberFormat="1" applyBorder="1" applyAlignment="1">
      <alignment horizontal="centerContinuous"/>
    </xf>
    <xf numFmtId="179" fontId="0" fillId="6" borderId="11" xfId="0" applyNumberFormat="1" applyFill="1" applyBorder="1"/>
    <xf numFmtId="179" fontId="21" fillId="6" borderId="0" xfId="0" applyNumberFormat="1" applyFont="1" applyFill="1"/>
    <xf numFmtId="173" fontId="18" fillId="0" borderId="9" xfId="0" applyFont="1" applyBorder="1" applyAlignment="1">
      <alignment horizontal="center"/>
    </xf>
    <xf numFmtId="186" fontId="11" fillId="0" borderId="6" xfId="1" applyNumberFormat="1" applyFont="1" applyBorder="1"/>
    <xf numFmtId="175" fontId="11" fillId="0" borderId="6" xfId="1" applyNumberFormat="1" applyFont="1" applyBorder="1"/>
    <xf numFmtId="175" fontId="11" fillId="0" borderId="0" xfId="1" applyNumberFormat="1" applyFont="1"/>
    <xf numFmtId="168" fontId="81" fillId="0" borderId="0" xfId="234" applyNumberFormat="1" applyFont="1"/>
    <xf numFmtId="168" fontId="5" fillId="0" borderId="0" xfId="165" applyNumberFormat="1" applyFont="1"/>
    <xf numFmtId="173" fontId="11" fillId="0" borderId="0" xfId="0" applyFont="1" applyAlignment="1"/>
    <xf numFmtId="177" fontId="11" fillId="0" borderId="0" xfId="0" applyNumberFormat="1" applyFont="1" applyAlignment="1">
      <alignment horizontal="center"/>
    </xf>
    <xf numFmtId="187" fontId="11" fillId="0" borderId="0" xfId="0" applyNumberFormat="1" applyFont="1" applyAlignment="1"/>
    <xf numFmtId="173" fontId="11" fillId="0" borderId="0" xfId="0" applyFont="1" applyAlignment="1">
      <alignment horizontal="center"/>
    </xf>
    <xf numFmtId="173" fontId="0" fillId="0" borderId="0" xfId="0" applyAlignment="1">
      <alignment horizontal="right"/>
    </xf>
    <xf numFmtId="0" fontId="5" fillId="0" borderId="0" xfId="0" applyNumberFormat="1" applyFont="1" applyFill="1" applyAlignment="1" applyProtection="1">
      <alignment vertical="top" wrapText="1"/>
      <protection locked="0"/>
    </xf>
    <xf numFmtId="1" fontId="0" fillId="0" borderId="0" xfId="0" applyNumberFormat="1" applyAlignment="1"/>
    <xf numFmtId="3" fontId="0" fillId="0" borderId="0" xfId="0" applyNumberFormat="1" applyAlignment="1">
      <alignment horizontal="center"/>
    </xf>
    <xf numFmtId="10" fontId="5" fillId="0" borderId="0" xfId="0" applyNumberFormat="1" applyFont="1" applyFill="1" applyAlignment="1" applyProtection="1">
      <alignment vertical="top" wrapText="1"/>
      <protection locked="0"/>
    </xf>
    <xf numFmtId="3" fontId="5" fillId="0" borderId="0" xfId="0" applyNumberFormat="1" applyFont="1" applyFill="1" applyAlignment="1" applyProtection="1">
      <alignment vertical="top" wrapText="1"/>
      <protection locked="0"/>
    </xf>
    <xf numFmtId="0" fontId="5" fillId="0" borderId="0" xfId="0" applyNumberFormat="1" applyFont="1" applyFill="1" applyAlignment="1" applyProtection="1">
      <alignment vertical="top"/>
      <protection locked="0"/>
    </xf>
    <xf numFmtId="173" fontId="18" fillId="0" borderId="9" xfId="0" applyFont="1" applyBorder="1" applyAlignment="1">
      <alignment horizontal="center"/>
    </xf>
    <xf numFmtId="173" fontId="0" fillId="0" borderId="0" xfId="0" applyFill="1" applyBorder="1" applyAlignment="1"/>
    <xf numFmtId="173" fontId="5" fillId="0" borderId="0" xfId="0" applyFont="1" applyFill="1" applyAlignment="1">
      <alignment horizontal="center"/>
    </xf>
    <xf numFmtId="173" fontId="83" fillId="0" borderId="0" xfId="0" applyFont="1" applyFill="1" applyAlignment="1">
      <alignment horizontal="center"/>
    </xf>
    <xf numFmtId="0" fontId="5" fillId="0" borderId="0" xfId="0" applyNumberFormat="1" applyFont="1" applyFill="1" applyAlignment="1" applyProtection="1">
      <alignment horizontal="left"/>
      <protection locked="0"/>
    </xf>
    <xf numFmtId="175" fontId="16" fillId="0" borderId="0" xfId="0" applyNumberFormat="1" applyFont="1" applyBorder="1"/>
    <xf numFmtId="175" fontId="16" fillId="0" borderId="0" xfId="1" applyNumberFormat="1" applyFont="1"/>
    <xf numFmtId="175" fontId="16" fillId="0" borderId="6" xfId="1" applyNumberFormat="1" applyFont="1" applyBorder="1"/>
    <xf numFmtId="0" fontId="5" fillId="0" borderId="0" xfId="0" applyNumberFormat="1" applyFont="1" applyFill="1" applyAlignment="1">
      <alignment horizontal="right"/>
    </xf>
    <xf numFmtId="0" fontId="5" fillId="0" borderId="0" xfId="0" applyNumberFormat="1" applyFont="1" applyAlignment="1"/>
    <xf numFmtId="3" fontId="5" fillId="0" borderId="0" xfId="0" applyNumberFormat="1" applyFont="1" applyFill="1" applyAlignment="1">
      <alignment horizontal="right"/>
    </xf>
    <xf numFmtId="0" fontId="5" fillId="0" borderId="0" xfId="0" applyNumberFormat="1" applyFont="1" applyFill="1" applyAlignment="1"/>
    <xf numFmtId="0" fontId="5" fillId="0" borderId="0" xfId="0" applyNumberFormat="1" applyFont="1" applyFill="1" applyAlignment="1" applyProtection="1">
      <alignment horizontal="right"/>
      <protection locked="0"/>
    </xf>
    <xf numFmtId="0" fontId="5" fillId="0" borderId="0" xfId="0" applyNumberFormat="1" applyFont="1" applyFill="1" applyAlignment="1" applyProtection="1">
      <alignment vertical="top" wrapText="1"/>
      <protection locked="0"/>
    </xf>
    <xf numFmtId="0" fontId="5" fillId="0" borderId="0" xfId="0" applyNumberFormat="1" applyFont="1" applyAlignment="1" applyProtection="1">
      <protection locked="0"/>
    </xf>
    <xf numFmtId="173" fontId="10" fillId="0" borderId="0" xfId="0" applyFont="1" applyFill="1" applyBorder="1" applyAlignment="1"/>
    <xf numFmtId="0" fontId="0" fillId="0" borderId="0" xfId="0" applyNumberFormat="1" applyFont="1" applyFill="1" applyBorder="1" applyAlignment="1"/>
    <xf numFmtId="173" fontId="0" fillId="0" borderId="0" xfId="0" applyFont="1" applyFill="1" applyBorder="1" applyAlignment="1"/>
    <xf numFmtId="3" fontId="0" fillId="0" borderId="0" xfId="0" applyNumberFormat="1" applyFont="1" applyFill="1" applyBorder="1" applyAlignment="1"/>
    <xf numFmtId="175" fontId="0" fillId="0" borderId="0" xfId="1" applyNumberFormat="1" applyFont="1" applyFill="1" applyBorder="1" applyAlignment="1"/>
    <xf numFmtId="3" fontId="12" fillId="0" borderId="0" xfId="0" applyNumberFormat="1" applyFont="1" applyFill="1" applyBorder="1" applyAlignment="1"/>
    <xf numFmtId="170" fontId="0" fillId="0" borderId="0" xfId="0" applyNumberFormat="1" applyFill="1" applyBorder="1" applyAlignment="1"/>
    <xf numFmtId="173" fontId="12" fillId="0" borderId="0" xfId="0" applyFont="1" applyFill="1" applyBorder="1" applyAlignment="1"/>
    <xf numFmtId="173" fontId="13" fillId="0" borderId="0" xfId="0" applyFont="1" applyFill="1" applyBorder="1" applyAlignment="1"/>
    <xf numFmtId="173" fontId="14" fillId="0" borderId="0" xfId="0" applyFont="1" applyFill="1" applyBorder="1"/>
    <xf numFmtId="173" fontId="12" fillId="0" borderId="0" xfId="0" applyFont="1" applyFill="1" applyBorder="1"/>
    <xf numFmtId="173" fontId="12" fillId="0" borderId="0" xfId="0" applyFont="1" applyFill="1" applyBorder="1" applyAlignment="1">
      <alignment horizontal="left" wrapText="1"/>
    </xf>
    <xf numFmtId="170" fontId="0" fillId="0" borderId="0" xfId="0" applyNumberFormat="1" applyFont="1" applyFill="1" applyBorder="1" applyAlignment="1"/>
    <xf numFmtId="0" fontId="2" fillId="0" borderId="0" xfId="236"/>
    <xf numFmtId="0" fontId="5" fillId="0" borderId="0" xfId="0" applyNumberFormat="1" applyFont="1" applyAlignment="1"/>
    <xf numFmtId="0" fontId="85" fillId="0" borderId="0" xfId="240" applyFont="1"/>
    <xf numFmtId="0" fontId="5" fillId="0" borderId="0" xfId="159" applyNumberFormat="1" applyFont="1" applyFill="1" applyAlignment="1" applyProtection="1">
      <alignment horizontal="right"/>
      <protection locked="0"/>
    </xf>
    <xf numFmtId="0" fontId="1" fillId="0" borderId="0" xfId="240"/>
    <xf numFmtId="0" fontId="85" fillId="0" borderId="0" xfId="240" applyFont="1" applyAlignment="1">
      <alignment horizontal="center"/>
    </xf>
    <xf numFmtId="0" fontId="86" fillId="0" borderId="0" xfId="240" applyFont="1"/>
    <xf numFmtId="9" fontId="85" fillId="0" borderId="0" xfId="240" applyNumberFormat="1" applyFont="1" applyAlignment="1">
      <alignment horizontal="center"/>
    </xf>
    <xf numFmtId="9" fontId="86" fillId="0" borderId="0" xfId="241" applyNumberFormat="1" applyFont="1" applyFill="1" applyBorder="1" applyAlignment="1">
      <alignment horizontal="center"/>
    </xf>
    <xf numFmtId="10" fontId="85" fillId="0" borderId="0" xfId="241" applyNumberFormat="1" applyFont="1" applyFill="1" applyBorder="1" applyAlignment="1">
      <alignment horizontal="center"/>
    </xf>
    <xf numFmtId="0" fontId="85" fillId="0" borderId="0" xfId="240" applyFont="1" applyBorder="1"/>
    <xf numFmtId="0" fontId="87" fillId="0" borderId="0" xfId="240" applyFont="1" applyFill="1" applyBorder="1"/>
    <xf numFmtId="176" fontId="85" fillId="32" borderId="0" xfId="240" applyNumberFormat="1" applyFont="1" applyFill="1"/>
    <xf numFmtId="10" fontId="85" fillId="0" borderId="0" xfId="241" applyNumberFormat="1" applyFont="1"/>
    <xf numFmtId="174" fontId="85" fillId="32" borderId="0" xfId="242" applyNumberFormat="1" applyFont="1" applyFill="1" applyBorder="1"/>
    <xf numFmtId="174" fontId="85" fillId="0" borderId="0" xfId="242" applyNumberFormat="1" applyFont="1" applyFill="1" applyBorder="1"/>
    <xf numFmtId="174" fontId="85" fillId="0" borderId="0" xfId="242" applyNumberFormat="1" applyFont="1"/>
    <xf numFmtId="188" fontId="85" fillId="0" borderId="0" xfId="242" applyNumberFormat="1" applyFont="1"/>
    <xf numFmtId="188" fontId="0" fillId="0" borderId="0" xfId="242" applyNumberFormat="1" applyFont="1"/>
    <xf numFmtId="174" fontId="85" fillId="32" borderId="0" xfId="242" applyNumberFormat="1" applyFont="1" applyFill="1"/>
    <xf numFmtId="9" fontId="85" fillId="0" borderId="0" xfId="241" applyFont="1"/>
    <xf numFmtId="9" fontId="0" fillId="0" borderId="0" xfId="241" applyFont="1"/>
    <xf numFmtId="0" fontId="85" fillId="0" borderId="0" xfId="240" applyFont="1" applyFill="1" applyBorder="1"/>
    <xf numFmtId="43" fontId="85" fillId="0" borderId="0" xfId="242" applyFont="1" applyFill="1" applyBorder="1"/>
    <xf numFmtId="43" fontId="85" fillId="0" borderId="0" xfId="242" applyFont="1" applyFill="1"/>
    <xf numFmtId="176" fontId="85" fillId="0" borderId="0" xfId="240" applyNumberFormat="1" applyFont="1" applyFill="1"/>
    <xf numFmtId="0" fontId="85" fillId="0" borderId="0" xfId="240" applyFont="1" applyFill="1"/>
    <xf numFmtId="41" fontId="85" fillId="0" borderId="0" xfId="240" applyNumberFormat="1" applyFont="1"/>
    <xf numFmtId="174" fontId="85" fillId="0" borderId="0" xfId="240" applyNumberFormat="1" applyFont="1"/>
    <xf numFmtId="10" fontId="85" fillId="0" borderId="0" xfId="241" applyNumberFormat="1" applyFont="1" applyFill="1" applyBorder="1"/>
    <xf numFmtId="43" fontId="85" fillId="0" borderId="0" xfId="242" applyFont="1"/>
    <xf numFmtId="0" fontId="87" fillId="0" borderId="0" xfId="240" applyFont="1" applyBorder="1"/>
    <xf numFmtId="0" fontId="5" fillId="0" borderId="0" xfId="159" applyNumberFormat="1" applyFont="1"/>
    <xf numFmtId="173" fontId="11" fillId="0" borderId="0" xfId="231" applyNumberFormat="1" applyFont="1" applyAlignment="1"/>
    <xf numFmtId="0" fontId="80" fillId="0" borderId="0" xfId="231" applyFont="1"/>
    <xf numFmtId="173" fontId="11" fillId="0" borderId="0" xfId="231" applyNumberFormat="1" applyFont="1" applyBorder="1" applyAlignment="1">
      <alignment horizontal="center" wrapText="1"/>
    </xf>
    <xf numFmtId="0" fontId="80" fillId="0" borderId="0" xfId="231" applyFont="1" applyAlignment="1">
      <alignment horizontal="right"/>
    </xf>
    <xf numFmtId="0" fontId="80" fillId="0" borderId="0" xfId="231" applyFont="1" applyAlignment="1">
      <alignment horizontal="center"/>
    </xf>
    <xf numFmtId="175" fontId="11" fillId="0" borderId="0" xfId="232" applyNumberFormat="1" applyFont="1"/>
    <xf numFmtId="174" fontId="11" fillId="0" borderId="0" xfId="233" applyNumberFormat="1" applyFont="1"/>
    <xf numFmtId="174" fontId="11" fillId="0" borderId="6" xfId="233" applyNumberFormat="1" applyFont="1" applyBorder="1"/>
    <xf numFmtId="0" fontId="82" fillId="0" borderId="0" xfId="231" applyFont="1"/>
    <xf numFmtId="164" fontId="11" fillId="0" borderId="0" xfId="235" applyNumberFormat="1" applyFont="1"/>
    <xf numFmtId="174" fontId="11" fillId="0" borderId="0" xfId="233" applyNumberFormat="1" applyFont="1" applyBorder="1"/>
    <xf numFmtId="175" fontId="82" fillId="0" borderId="2" xfId="232" applyNumberFormat="1" applyFont="1" applyBorder="1"/>
    <xf numFmtId="0" fontId="3" fillId="0" borderId="0" xfId="231"/>
    <xf numFmtId="3" fontId="5" fillId="0" borderId="6" xfId="0" applyNumberFormat="1" applyFont="1" applyBorder="1"/>
    <xf numFmtId="173" fontId="18" fillId="0" borderId="9" xfId="0" applyFont="1" applyBorder="1" applyAlignment="1">
      <alignment horizontal="center"/>
    </xf>
    <xf numFmtId="173" fontId="18" fillId="0" borderId="10" xfId="0" applyFont="1" applyBorder="1" applyAlignment="1">
      <alignment horizontal="center"/>
    </xf>
    <xf numFmtId="176" fontId="85" fillId="32" borderId="0" xfId="0" applyNumberFormat="1" applyFont="1" applyFill="1"/>
    <xf numFmtId="10" fontId="86" fillId="0" borderId="0" xfId="3" applyNumberFormat="1" applyFont="1" applyFill="1" applyBorder="1" applyAlignment="1">
      <alignment horizontal="center"/>
    </xf>
    <xf numFmtId="0" fontId="6" fillId="0" borderId="0" xfId="0" applyNumberFormat="1" applyFont="1" applyFill="1" applyAlignment="1" applyProtection="1">
      <alignment horizontal="right"/>
      <protection locked="0"/>
    </xf>
    <xf numFmtId="0" fontId="110" fillId="0" borderId="0" xfId="0" applyNumberFormat="1" applyFont="1" applyFill="1" applyAlignment="1" applyProtection="1">
      <alignment horizontal="right"/>
      <protection locked="0"/>
    </xf>
    <xf numFmtId="0" fontId="5" fillId="0" borderId="0" xfId="0" applyNumberFormat="1" applyFont="1" applyAlignment="1" applyProtection="1">
      <protection locked="0"/>
    </xf>
    <xf numFmtId="3" fontId="5" fillId="0" borderId="0" xfId="0" applyNumberFormat="1" applyFont="1" applyFill="1" applyAlignment="1">
      <alignment horizontal="right"/>
    </xf>
    <xf numFmtId="0" fontId="5" fillId="0" borderId="0" xfId="0" applyNumberFormat="1" applyFont="1" applyFill="1" applyAlignment="1" applyProtection="1">
      <alignment horizontal="right"/>
      <protection locked="0"/>
    </xf>
    <xf numFmtId="0" fontId="9" fillId="0" borderId="0" xfId="0" applyNumberFormat="1" applyFont="1" applyFill="1" applyAlignment="1" applyProtection="1">
      <alignment horizontal="right"/>
      <protection locked="0"/>
    </xf>
    <xf numFmtId="173" fontId="84" fillId="0" borderId="8" xfId="0" applyFont="1" applyBorder="1" applyAlignment="1">
      <alignment horizontal="center" vertical="center" wrapText="1"/>
    </xf>
    <xf numFmtId="173" fontId="84" fillId="0" borderId="9" xfId="0" applyFont="1" applyBorder="1" applyAlignment="1">
      <alignment horizontal="center" vertical="center" wrapText="1"/>
    </xf>
    <xf numFmtId="173" fontId="84" fillId="0" borderId="10" xfId="0" applyFont="1" applyBorder="1" applyAlignment="1">
      <alignment horizontal="center" vertical="center" wrapText="1"/>
    </xf>
    <xf numFmtId="173" fontId="84" fillId="0" borderId="3" xfId="0" applyFont="1" applyBorder="1" applyAlignment="1">
      <alignment horizontal="center" vertical="center" wrapText="1"/>
    </xf>
    <xf numFmtId="173" fontId="84" fillId="0" borderId="0" xfId="0" applyFont="1" applyBorder="1" applyAlignment="1">
      <alignment horizontal="center" vertical="center" wrapText="1"/>
    </xf>
    <xf numFmtId="173" fontId="84" fillId="0" borderId="4" xfId="0" applyFont="1" applyBorder="1" applyAlignment="1">
      <alignment horizontal="center" vertical="center" wrapText="1"/>
    </xf>
    <xf numFmtId="173" fontId="84" fillId="0" borderId="5" xfId="0" applyFont="1" applyBorder="1" applyAlignment="1">
      <alignment horizontal="center" vertical="center" wrapText="1"/>
    </xf>
    <xf numFmtId="173" fontId="84" fillId="0" borderId="6" xfId="0" applyFont="1" applyBorder="1" applyAlignment="1">
      <alignment horizontal="center" vertical="center" wrapText="1"/>
    </xf>
    <xf numFmtId="173" fontId="84" fillId="0" borderId="7" xfId="0" applyFont="1" applyBorder="1" applyAlignment="1">
      <alignment horizontal="center" vertical="center" wrapText="1"/>
    </xf>
    <xf numFmtId="0" fontId="6" fillId="0" borderId="0" xfId="0" applyNumberFormat="1" applyFont="1" applyFill="1" applyAlignment="1" applyProtection="1">
      <alignment horizontal="right"/>
      <protection locked="0"/>
    </xf>
    <xf numFmtId="0" fontId="5" fillId="0" borderId="0" xfId="0" applyNumberFormat="1" applyFont="1" applyAlignment="1">
      <alignment horizontal="right"/>
    </xf>
    <xf numFmtId="0" fontId="5" fillId="0" borderId="0" xfId="0" applyNumberFormat="1" applyFont="1" applyFill="1" applyAlignment="1">
      <alignment horizontal="right"/>
    </xf>
    <xf numFmtId="0" fontId="5" fillId="0" borderId="0" xfId="0" applyNumberFormat="1" applyFont="1" applyAlignment="1" applyProtection="1">
      <alignment wrapText="1"/>
      <protection locked="0"/>
    </xf>
    <xf numFmtId="0" fontId="5" fillId="0" borderId="0" xfId="0" applyNumberFormat="1" applyFont="1" applyFill="1" applyAlignment="1">
      <alignment horizontal="left" wrapText="1"/>
    </xf>
    <xf numFmtId="0" fontId="5" fillId="0" borderId="0" xfId="0" applyNumberFormat="1" applyFont="1" applyAlignment="1"/>
    <xf numFmtId="0" fontId="110" fillId="0" borderId="0" xfId="0" applyNumberFormat="1" applyFont="1" applyFill="1" applyAlignment="1" applyProtection="1">
      <alignment horizontal="right"/>
      <protection locked="0"/>
    </xf>
    <xf numFmtId="0" fontId="5" fillId="0" borderId="0" xfId="0" applyNumberFormat="1" applyFont="1" applyFill="1" applyAlignment="1" applyProtection="1">
      <alignment vertical="top" wrapText="1"/>
      <protection locked="0"/>
    </xf>
    <xf numFmtId="0" fontId="0" fillId="0" borderId="0" xfId="0" applyNumberFormat="1" applyFill="1" applyBorder="1" applyAlignment="1">
      <alignment horizontal="center"/>
    </xf>
    <xf numFmtId="0" fontId="0" fillId="0" borderId="0" xfId="0" applyNumberFormat="1" applyFont="1" applyFill="1" applyBorder="1" applyAlignment="1">
      <alignment horizontal="center"/>
    </xf>
    <xf numFmtId="0" fontId="5" fillId="0" borderId="0" xfId="0" applyNumberFormat="1" applyFont="1" applyFill="1" applyAlignment="1"/>
    <xf numFmtId="0" fontId="5" fillId="0" borderId="0" xfId="159" applyNumberFormat="1" applyFont="1" applyFill="1" applyAlignment="1" applyProtection="1">
      <alignment vertical="top" wrapText="1"/>
      <protection locked="0"/>
    </xf>
    <xf numFmtId="0" fontId="5" fillId="0" borderId="0" xfId="0" applyNumberFormat="1" applyFont="1" applyFill="1" applyAlignment="1">
      <alignment vertical="top" wrapText="1"/>
    </xf>
    <xf numFmtId="0" fontId="86" fillId="0" borderId="0" xfId="240" applyFont="1" applyAlignment="1">
      <alignment horizontal="center"/>
    </xf>
    <xf numFmtId="173" fontId="18" fillId="0" borderId="9" xfId="0" applyFont="1" applyBorder="1" applyAlignment="1">
      <alignment horizontal="center"/>
    </xf>
    <xf numFmtId="173" fontId="18" fillId="0" borderId="10" xfId="0" applyFont="1" applyBorder="1" applyAlignment="1">
      <alignment horizontal="center"/>
    </xf>
    <xf numFmtId="173" fontId="18" fillId="0" borderId="19" xfId="0" applyFont="1" applyBorder="1" applyAlignment="1">
      <alignment horizontal="center"/>
    </xf>
    <xf numFmtId="173" fontId="18" fillId="0" borderId="20" xfId="0" applyFont="1" applyBorder="1" applyAlignment="1">
      <alignment horizontal="center"/>
    </xf>
  </cellXfs>
  <cellStyles count="1091">
    <cellStyle name="=C:\WINNT35\SYSTEM32\COMMAND.COM" xfId="243"/>
    <cellStyle name="20% - Accent1 2" xfId="5"/>
    <cellStyle name="20% - Accent1 3" xfId="6"/>
    <cellStyle name="20% - Accent1 4" xfId="7"/>
    <cellStyle name="20% - Accent1 5" xfId="8"/>
    <cellStyle name="20% - Accent1 6" xfId="9"/>
    <cellStyle name="20% - Accent2 2" xfId="10"/>
    <cellStyle name="20% - Accent2 3" xfId="11"/>
    <cellStyle name="20% - Accent2 4" xfId="12"/>
    <cellStyle name="20% - Accent2 5" xfId="13"/>
    <cellStyle name="20% - Accent2 6" xfId="14"/>
    <cellStyle name="20% - Accent3 2" xfId="15"/>
    <cellStyle name="20% - Accent3 3" xfId="16"/>
    <cellStyle name="20% - Accent3 4" xfId="17"/>
    <cellStyle name="20% - Accent3 5" xfId="18"/>
    <cellStyle name="20% - Accent3 6" xfId="19"/>
    <cellStyle name="20% - Accent4 2" xfId="20"/>
    <cellStyle name="20% - Accent4 3" xfId="21"/>
    <cellStyle name="20% - Accent4 4" xfId="22"/>
    <cellStyle name="20% - Accent4 5" xfId="23"/>
    <cellStyle name="20% - Accent4 6" xfId="24"/>
    <cellStyle name="20% - Accent5 2" xfId="25"/>
    <cellStyle name="20% - Accent5 3" xfId="26"/>
    <cellStyle name="20% - Accent5 4" xfId="27"/>
    <cellStyle name="20% - Accent5 5" xfId="28"/>
    <cellStyle name="20% - Accent5 6" xfId="29"/>
    <cellStyle name="20% - Accent6 2" xfId="30"/>
    <cellStyle name="20% - Accent6 3" xfId="31"/>
    <cellStyle name="20% - Accent6 4" xfId="32"/>
    <cellStyle name="20% - Accent6 5" xfId="33"/>
    <cellStyle name="20% - Accent6 6" xfId="34"/>
    <cellStyle name="40% - Accent1 2" xfId="35"/>
    <cellStyle name="40% - Accent1 3" xfId="36"/>
    <cellStyle name="40% - Accent1 4" xfId="37"/>
    <cellStyle name="40% - Accent1 5" xfId="38"/>
    <cellStyle name="40% - Accent1 6" xfId="39"/>
    <cellStyle name="40% - Accent2 2" xfId="40"/>
    <cellStyle name="40% - Accent2 3" xfId="41"/>
    <cellStyle name="40% - Accent2 4" xfId="42"/>
    <cellStyle name="40% - Accent2 5" xfId="43"/>
    <cellStyle name="40% - Accent2 6" xfId="44"/>
    <cellStyle name="40% - Accent3 2" xfId="45"/>
    <cellStyle name="40% - Accent3 3" xfId="46"/>
    <cellStyle name="40% - Accent3 4" xfId="47"/>
    <cellStyle name="40% - Accent3 5" xfId="48"/>
    <cellStyle name="40% - Accent3 6" xfId="49"/>
    <cellStyle name="40% - Accent4 2" xfId="50"/>
    <cellStyle name="40% - Accent4 3" xfId="51"/>
    <cellStyle name="40% - Accent4 4" xfId="52"/>
    <cellStyle name="40% - Accent4 5" xfId="53"/>
    <cellStyle name="40% - Accent4 6" xfId="54"/>
    <cellStyle name="40% - Accent5 2" xfId="55"/>
    <cellStyle name="40% - Accent5 3" xfId="56"/>
    <cellStyle name="40% - Accent5 4" xfId="57"/>
    <cellStyle name="40% - Accent5 5" xfId="58"/>
    <cellStyle name="40% - Accent5 6" xfId="59"/>
    <cellStyle name="40% - Accent6 2" xfId="60"/>
    <cellStyle name="40% - Accent6 3" xfId="61"/>
    <cellStyle name="40% - Accent6 4" xfId="62"/>
    <cellStyle name="40% - Accent6 5" xfId="63"/>
    <cellStyle name="40% - Accent6 6"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Bad 2" xfId="77"/>
    <cellStyle name="black" xfId="244"/>
    <cellStyle name="blu" xfId="245"/>
    <cellStyle name="bot" xfId="246"/>
    <cellStyle name="Bullet" xfId="247"/>
    <cellStyle name="c" xfId="248"/>
    <cellStyle name="c," xfId="249"/>
    <cellStyle name="c_HardInc " xfId="250"/>
    <cellStyle name="C00A" xfId="78"/>
    <cellStyle name="C00B" xfId="79"/>
    <cellStyle name="C00L" xfId="80"/>
    <cellStyle name="C01A" xfId="81"/>
    <cellStyle name="C01B" xfId="82"/>
    <cellStyle name="C01H" xfId="83"/>
    <cellStyle name="C01L" xfId="84"/>
    <cellStyle name="C02A" xfId="85"/>
    <cellStyle name="C02A 2" xfId="251"/>
    <cellStyle name="C02A 2 2" xfId="252"/>
    <cellStyle name="C02A 2 2 2" xfId="253"/>
    <cellStyle name="C02A 2 3" xfId="254"/>
    <cellStyle name="C02A 2 4" xfId="255"/>
    <cellStyle name="C02A 2 5" xfId="256"/>
    <cellStyle name="C02A 2 6" xfId="257"/>
    <cellStyle name="C02A 3" xfId="258"/>
    <cellStyle name="C02A 3 2" xfId="259"/>
    <cellStyle name="C02A 4" xfId="260"/>
    <cellStyle name="C02A 4 2" xfId="261"/>
    <cellStyle name="C02B" xfId="86"/>
    <cellStyle name="C02H" xfId="87"/>
    <cellStyle name="C02L" xfId="88"/>
    <cellStyle name="C03A" xfId="89"/>
    <cellStyle name="C03B" xfId="90"/>
    <cellStyle name="C03H" xfId="91"/>
    <cellStyle name="C03L" xfId="92"/>
    <cellStyle name="C04A" xfId="93"/>
    <cellStyle name="C04B" xfId="94"/>
    <cellStyle name="C04H" xfId="95"/>
    <cellStyle name="C04L" xfId="96"/>
    <cellStyle name="C05A" xfId="97"/>
    <cellStyle name="C05B" xfId="98"/>
    <cellStyle name="C05H" xfId="99"/>
    <cellStyle name="C05L" xfId="100"/>
    <cellStyle name="C06A" xfId="101"/>
    <cellStyle name="C06B" xfId="102"/>
    <cellStyle name="C06H" xfId="103"/>
    <cellStyle name="C06L" xfId="104"/>
    <cellStyle name="C07A" xfId="105"/>
    <cellStyle name="C07B" xfId="106"/>
    <cellStyle name="C07H" xfId="107"/>
    <cellStyle name="C07L" xfId="108"/>
    <cellStyle name="c1" xfId="262"/>
    <cellStyle name="c1," xfId="263"/>
    <cellStyle name="c2" xfId="264"/>
    <cellStyle name="c2," xfId="265"/>
    <cellStyle name="c3" xfId="266"/>
    <cellStyle name="Calc Currency (0)" xfId="109"/>
    <cellStyle name="Calculation 2" xfId="110"/>
    <cellStyle name="Calculation 2 2" xfId="267"/>
    <cellStyle name="Calculation 2 2 2" xfId="268"/>
    <cellStyle name="Calculation 2 2 2 2" xfId="269"/>
    <cellStyle name="Calculation 2 2 2 2 2" xfId="270"/>
    <cellStyle name="Calculation 2 2 2 3" xfId="271"/>
    <cellStyle name="Calculation 2 2 2 3 2" xfId="272"/>
    <cellStyle name="Calculation 2 2 2 4" xfId="273"/>
    <cellStyle name="Calculation 2 2 3" xfId="274"/>
    <cellStyle name="Calculation 2 2 3 2" xfId="275"/>
    <cellStyle name="Calculation 2 2 4" xfId="276"/>
    <cellStyle name="Calculation 2 2 4 2" xfId="277"/>
    <cellStyle name="Calculation 2 2 5" xfId="278"/>
    <cellStyle name="Calculation 2 2 6" xfId="279"/>
    <cellStyle name="Calculation 2 3" xfId="280"/>
    <cellStyle name="Calculation 2 3 2" xfId="281"/>
    <cellStyle name="Calculation 2 3 2 2" xfId="282"/>
    <cellStyle name="Calculation 2 3 2 2 2" xfId="283"/>
    <cellStyle name="Calculation 2 3 2 3" xfId="284"/>
    <cellStyle name="Calculation 2 3 2 3 2" xfId="285"/>
    <cellStyle name="Calculation 2 3 2 4" xfId="286"/>
    <cellStyle name="Calculation 2 3 3" xfId="287"/>
    <cellStyle name="Calculation 2 3 3 2" xfId="288"/>
    <cellStyle name="Calculation 2 3 4" xfId="289"/>
    <cellStyle name="Calculation 2 3 4 2" xfId="290"/>
    <cellStyle name="Calculation 2 3 5" xfId="291"/>
    <cellStyle name="Calculation 2 4" xfId="292"/>
    <cellStyle name="Calculation 2 4 2" xfId="293"/>
    <cellStyle name="Calculation 2 4 2 2" xfId="294"/>
    <cellStyle name="Calculation 2 4 3" xfId="295"/>
    <cellStyle name="Calculation 2 4 3 2" xfId="296"/>
    <cellStyle name="Calculation 2 4 4" xfId="297"/>
    <cellStyle name="Calculation 2 4 4 2" xfId="298"/>
    <cellStyle name="Calculation 2 4 5" xfId="299"/>
    <cellStyle name="Calculation 2 5" xfId="300"/>
    <cellStyle name="Calculation 2 5 2" xfId="301"/>
    <cellStyle name="Calculation 2 5 2 2" xfId="302"/>
    <cellStyle name="Calculation 2 5 3" xfId="303"/>
    <cellStyle name="Calculation 2 5 3 2" xfId="304"/>
    <cellStyle name="Calculation 2 5 4" xfId="305"/>
    <cellStyle name="Calculation 2 6" xfId="306"/>
    <cellStyle name="Calculation 2 6 2" xfId="307"/>
    <cellStyle name="Calculation 2 7" xfId="308"/>
    <cellStyle name="Calculation 2 7 2" xfId="309"/>
    <cellStyle name="Calculation 2 8" xfId="310"/>
    <cellStyle name="cas" xfId="311"/>
    <cellStyle name="Centered Heading" xfId="312"/>
    <cellStyle name="Check Cell 2" xfId="111"/>
    <cellStyle name="Comma" xfId="2" builtinId="3"/>
    <cellStyle name="Comma [0] 2" xfId="112"/>
    <cellStyle name="Comma [0] 2 2" xfId="113"/>
    <cellStyle name="Comma [0] 2 3" xfId="313"/>
    <cellStyle name="Comma [0] 2 4" xfId="314"/>
    <cellStyle name="Comma [0] 3" xfId="315"/>
    <cellStyle name="Comma [0] 3 2" xfId="316"/>
    <cellStyle name="Comma [0] 3 2 2" xfId="317"/>
    <cellStyle name="Comma [0] 3 3" xfId="318"/>
    <cellStyle name="Comma [0] 4" xfId="319"/>
    <cellStyle name="Comma [0] 4 2" xfId="320"/>
    <cellStyle name="Comma [0] 5" xfId="321"/>
    <cellStyle name="Comma 0.0" xfId="322"/>
    <cellStyle name="Comma 0.00" xfId="323"/>
    <cellStyle name="Comma 0.000" xfId="324"/>
    <cellStyle name="Comma 0.0000" xfId="325"/>
    <cellStyle name="Comma 10" xfId="114"/>
    <cellStyle name="Comma 11" xfId="115"/>
    <cellStyle name="Comma 12" xfId="242"/>
    <cellStyle name="Comma 12 2" xfId="326"/>
    <cellStyle name="Comma 12 2 2" xfId="327"/>
    <cellStyle name="Comma 12 3" xfId="328"/>
    <cellStyle name="Comma 13" xfId="329"/>
    <cellStyle name="Comma 14" xfId="330"/>
    <cellStyle name="Comma 15" xfId="331"/>
    <cellStyle name="Comma 16" xfId="332"/>
    <cellStyle name="Comma 17" xfId="333"/>
    <cellStyle name="Comma 18" xfId="334"/>
    <cellStyle name="Comma 18 2" xfId="335"/>
    <cellStyle name="Comma 19" xfId="336"/>
    <cellStyle name="Comma 2" xfId="116"/>
    <cellStyle name="Comma 2 2" xfId="117"/>
    <cellStyle name="Comma 2 2 2" xfId="118"/>
    <cellStyle name="Comma 2 2 3" xfId="337"/>
    <cellStyle name="Comma 2 3" xfId="119"/>
    <cellStyle name="Comma 2 4" xfId="338"/>
    <cellStyle name="Comma 20" xfId="339"/>
    <cellStyle name="Comma 21" xfId="340"/>
    <cellStyle name="Comma 22" xfId="341"/>
    <cellStyle name="Comma 23" xfId="342"/>
    <cellStyle name="Comma 24" xfId="343"/>
    <cellStyle name="Comma 25" xfId="344"/>
    <cellStyle name="Comma 26" xfId="345"/>
    <cellStyle name="Comma 27" xfId="346"/>
    <cellStyle name="Comma 3" xfId="120"/>
    <cellStyle name="Comma 3 2" xfId="121"/>
    <cellStyle name="Comma 3 3" xfId="233"/>
    <cellStyle name="Comma 3 3 2" xfId="238"/>
    <cellStyle name="Comma 3 3 2 2" xfId="347"/>
    <cellStyle name="Comma 3 3 3" xfId="348"/>
    <cellStyle name="Comma 3 4" xfId="349"/>
    <cellStyle name="Comma 3 5" xfId="350"/>
    <cellStyle name="Comma 3 5 2" xfId="351"/>
    <cellStyle name="Comma 4" xfId="122"/>
    <cellStyle name="Comma 4 2" xfId="352"/>
    <cellStyle name="Comma 4 3" xfId="353"/>
    <cellStyle name="Comma 5" xfId="123"/>
    <cellStyle name="Comma 6" xfId="124"/>
    <cellStyle name="Comma 7" xfId="125"/>
    <cellStyle name="Comma 8" xfId="126"/>
    <cellStyle name="Comma 9" xfId="127"/>
    <cellStyle name="Comma0" xfId="128"/>
    <cellStyle name="Company Name" xfId="354"/>
    <cellStyle name="Config Data" xfId="355"/>
    <cellStyle name="Copied" xfId="129"/>
    <cellStyle name="COSS" xfId="130"/>
    <cellStyle name="Currency" xfId="1" builtinId="4"/>
    <cellStyle name="Currency 0.0" xfId="356"/>
    <cellStyle name="Currency 0.00" xfId="357"/>
    <cellStyle name="Currency 0.000" xfId="358"/>
    <cellStyle name="Currency 0.0000" xfId="359"/>
    <cellStyle name="Currency 10" xfId="360"/>
    <cellStyle name="Currency 11" xfId="361"/>
    <cellStyle name="Currency 12" xfId="362"/>
    <cellStyle name="Currency 13" xfId="363"/>
    <cellStyle name="Currency 14" xfId="364"/>
    <cellStyle name="Currency 15" xfId="365"/>
    <cellStyle name="Currency 16" xfId="366"/>
    <cellStyle name="Currency 17" xfId="367"/>
    <cellStyle name="Currency 18" xfId="368"/>
    <cellStyle name="Currency 19" xfId="369"/>
    <cellStyle name="Currency 2" xfId="131"/>
    <cellStyle name="Currency 2 2" xfId="370"/>
    <cellStyle name="Currency 20" xfId="371"/>
    <cellStyle name="Currency 21" xfId="372"/>
    <cellStyle name="Currency 22" xfId="373"/>
    <cellStyle name="Currency 3" xfId="132"/>
    <cellStyle name="Currency 3 2" xfId="232"/>
    <cellStyle name="Currency 3 2 2" xfId="237"/>
    <cellStyle name="Currency 3 2 2 2" xfId="374"/>
    <cellStyle name="Currency 3 2 3" xfId="375"/>
    <cellStyle name="Currency 3 3" xfId="376"/>
    <cellStyle name="Currency 3 3 2" xfId="377"/>
    <cellStyle name="Currency 3 4" xfId="378"/>
    <cellStyle name="Currency 4" xfId="133"/>
    <cellStyle name="Currency 4 2" xfId="379"/>
    <cellStyle name="Currency 4 3" xfId="380"/>
    <cellStyle name="Currency 5" xfId="381"/>
    <cellStyle name="Currency 5 2" xfId="382"/>
    <cellStyle name="Currency 5 2 2" xfId="383"/>
    <cellStyle name="Currency 5 3" xfId="384"/>
    <cellStyle name="Currency 6" xfId="385"/>
    <cellStyle name="Currency 7" xfId="386"/>
    <cellStyle name="Currency 8" xfId="387"/>
    <cellStyle name="Currency 9" xfId="388"/>
    <cellStyle name="Currency0" xfId="134"/>
    <cellStyle name="d" xfId="389"/>
    <cellStyle name="d," xfId="390"/>
    <cellStyle name="d1" xfId="391"/>
    <cellStyle name="d1," xfId="392"/>
    <cellStyle name="d2" xfId="393"/>
    <cellStyle name="d2," xfId="394"/>
    <cellStyle name="d3" xfId="395"/>
    <cellStyle name="Dash" xfId="396"/>
    <cellStyle name="Date" xfId="135"/>
    <cellStyle name="Date 2" xfId="136"/>
    <cellStyle name="Define$0" xfId="397"/>
    <cellStyle name="Define$1" xfId="398"/>
    <cellStyle name="Define$2" xfId="399"/>
    <cellStyle name="Define0" xfId="400"/>
    <cellStyle name="Define1" xfId="401"/>
    <cellStyle name="Define1x" xfId="402"/>
    <cellStyle name="Define2" xfId="403"/>
    <cellStyle name="Define2x" xfId="404"/>
    <cellStyle name="Dollar" xfId="405"/>
    <cellStyle name="e" xfId="406"/>
    <cellStyle name="e1" xfId="407"/>
    <cellStyle name="e2" xfId="408"/>
    <cellStyle name="Entered" xfId="137"/>
    <cellStyle name="Euro" xfId="409"/>
    <cellStyle name="Explanatory Text 2" xfId="138"/>
    <cellStyle name="Fixed" xfId="139"/>
    <cellStyle name="g" xfId="410"/>
    <cellStyle name="general" xfId="411"/>
    <cellStyle name="Good 2" xfId="140"/>
    <cellStyle name="Green" xfId="412"/>
    <cellStyle name="Grey" xfId="141"/>
    <cellStyle name="Grey 2" xfId="413"/>
    <cellStyle name="grey 3" xfId="414"/>
    <cellStyle name="grey 4" xfId="415"/>
    <cellStyle name="grey 5" xfId="416"/>
    <cellStyle name="Header1" xfId="142"/>
    <cellStyle name="Header2" xfId="143"/>
    <cellStyle name="Header2 2" xfId="417"/>
    <cellStyle name="Header2 2 2" xfId="418"/>
    <cellStyle name="Header2 2 2 2" xfId="419"/>
    <cellStyle name="Header2 2 2 2 2" xfId="420"/>
    <cellStyle name="Header2 2 2 2 3" xfId="421"/>
    <cellStyle name="Header2 2 2 3" xfId="422"/>
    <cellStyle name="Header2 2 2 3 2" xfId="423"/>
    <cellStyle name="Header2 2 3" xfId="424"/>
    <cellStyle name="Header2 2 3 2" xfId="425"/>
    <cellStyle name="Header2 2 4" xfId="426"/>
    <cellStyle name="Header2 2 4 2" xfId="427"/>
    <cellStyle name="Header2 2 5" xfId="428"/>
    <cellStyle name="Header2 2 6" xfId="429"/>
    <cellStyle name="Header2 3" xfId="430"/>
    <cellStyle name="Header2 3 2" xfId="431"/>
    <cellStyle name="Header2 3 2 2" xfId="432"/>
    <cellStyle name="Header2 3 2 2 2" xfId="433"/>
    <cellStyle name="Header2 3 2 2 3" xfId="434"/>
    <cellStyle name="Header2 3 2 3" xfId="435"/>
    <cellStyle name="Header2 3 2 3 2" xfId="436"/>
    <cellStyle name="Header2 3 3" xfId="437"/>
    <cellStyle name="Header2 3 3 2" xfId="438"/>
    <cellStyle name="Header2 3 4" xfId="439"/>
    <cellStyle name="Header2 3 5" xfId="440"/>
    <cellStyle name="Header2 4" xfId="441"/>
    <cellStyle name="Header2 4 2" xfId="442"/>
    <cellStyle name="Header2 4 2 2" xfId="443"/>
    <cellStyle name="Header2 4 2 2 2" xfId="444"/>
    <cellStyle name="Header2 4 2 2 3" xfId="445"/>
    <cellStyle name="Header2 4 2 3" xfId="446"/>
    <cellStyle name="Header2 4 2 3 2" xfId="447"/>
    <cellStyle name="Header2 4 3" xfId="448"/>
    <cellStyle name="Header2 4 3 2" xfId="449"/>
    <cellStyle name="Header2 4 4" xfId="450"/>
    <cellStyle name="Header2 4 5" xfId="451"/>
    <cellStyle name="Header2 5" xfId="452"/>
    <cellStyle name="Header2 5 2" xfId="453"/>
    <cellStyle name="Header2 5 2 2" xfId="454"/>
    <cellStyle name="Header2 5 3" xfId="455"/>
    <cellStyle name="Header2 5 3 2" xfId="456"/>
    <cellStyle name="Header2 5 3 3" xfId="457"/>
    <cellStyle name="Header2 5 4" xfId="458"/>
    <cellStyle name="Header2 5 4 2" xfId="459"/>
    <cellStyle name="Header2 6" xfId="460"/>
    <cellStyle name="Header2 6 2" xfId="461"/>
    <cellStyle name="Header2 6 2 2" xfId="462"/>
    <cellStyle name="Header2 6 2 3" xfId="463"/>
    <cellStyle name="Header2 7" xfId="464"/>
    <cellStyle name="Header2 7 2" xfId="465"/>
    <cellStyle name="Header2 8" xfId="466"/>
    <cellStyle name="Header2 9" xfId="467"/>
    <cellStyle name="Heading" xfId="468"/>
    <cellStyle name="Heading 1 2" xfId="144"/>
    <cellStyle name="Heading 1 3" xfId="145"/>
    <cellStyle name="Heading 2 2" xfId="146"/>
    <cellStyle name="Heading 2 3" xfId="147"/>
    <cellStyle name="Heading 3 2" xfId="148"/>
    <cellStyle name="Heading 4 2" xfId="149"/>
    <cellStyle name="Heading No Underline" xfId="469"/>
    <cellStyle name="Heading With Underline" xfId="470"/>
    <cellStyle name="Heading1" xfId="150"/>
    <cellStyle name="Heading2" xfId="151"/>
    <cellStyle name="Headline" xfId="471"/>
    <cellStyle name="Highlight" xfId="472"/>
    <cellStyle name="in" xfId="473"/>
    <cellStyle name="in 2" xfId="474"/>
    <cellStyle name="in 2 2" xfId="475"/>
    <cellStyle name="in 2 2 2" xfId="476"/>
    <cellStyle name="in 2 2 3" xfId="477"/>
    <cellStyle name="in 2 3" xfId="478"/>
    <cellStyle name="in 2 3 2" xfId="479"/>
    <cellStyle name="in 2 3 3" xfId="480"/>
    <cellStyle name="in 3" xfId="481"/>
    <cellStyle name="in 3 2" xfId="482"/>
    <cellStyle name="in 3 2 2" xfId="483"/>
    <cellStyle name="in 3 2 3" xfId="484"/>
    <cellStyle name="in 3 3" xfId="485"/>
    <cellStyle name="in 3 4" xfId="486"/>
    <cellStyle name="in 4" xfId="487"/>
    <cellStyle name="in 4 2" xfId="488"/>
    <cellStyle name="in 4 3" xfId="489"/>
    <cellStyle name="Input [yellow]" xfId="152"/>
    <cellStyle name="Input [yellow] 2" xfId="490"/>
    <cellStyle name="Input [yellow] 2 2" xfId="491"/>
    <cellStyle name="Input [yellow] 2 2 2" xfId="492"/>
    <cellStyle name="Input [yellow] 2 2 3" xfId="493"/>
    <cellStyle name="Input [yellow] 2 3" xfId="494"/>
    <cellStyle name="Input [yellow] 2 3 2" xfId="495"/>
    <cellStyle name="Input [yellow] 2 3 3" xfId="496"/>
    <cellStyle name="Input [yellow] 2 4" xfId="497"/>
    <cellStyle name="Input [yellow] 2 5" xfId="498"/>
    <cellStyle name="Input [yellow] 3" xfId="499"/>
    <cellStyle name="Input [yellow] 3 2" xfId="500"/>
    <cellStyle name="Input [yellow] 3 2 2" xfId="501"/>
    <cellStyle name="Input [yellow] 3 2 2 2" xfId="502"/>
    <cellStyle name="Input [yellow] 3 2 2 3" xfId="503"/>
    <cellStyle name="Input [yellow] 3 2 3" xfId="504"/>
    <cellStyle name="Input [yellow] 3 2 3 2" xfId="505"/>
    <cellStyle name="Input [yellow] 3 2 3 3" xfId="506"/>
    <cellStyle name="Input [yellow] 3 3" xfId="507"/>
    <cellStyle name="Input [yellow] 3 3 2" xfId="508"/>
    <cellStyle name="Input [yellow] 3 3 2 2" xfId="509"/>
    <cellStyle name="Input [yellow] 3 3 2 3" xfId="510"/>
    <cellStyle name="Input [yellow] 3 3 3" xfId="511"/>
    <cellStyle name="Input [yellow] 3 3 4" xfId="512"/>
    <cellStyle name="Input [yellow] 3 4" xfId="513"/>
    <cellStyle name="Input [yellow] 3 4 2" xfId="514"/>
    <cellStyle name="Input [yellow] 3 4 3" xfId="515"/>
    <cellStyle name="Input [yellow] 4" xfId="516"/>
    <cellStyle name="Input [yellow] 4 2" xfId="517"/>
    <cellStyle name="Input [yellow] 4 2 2" xfId="518"/>
    <cellStyle name="Input [yellow] 4 2 2 2" xfId="519"/>
    <cellStyle name="Input [yellow] 4 2 2 3" xfId="520"/>
    <cellStyle name="Input [yellow] 4 2 3" xfId="521"/>
    <cellStyle name="Input [yellow] 4 2 4" xfId="522"/>
    <cellStyle name="Input [yellow] 4 3" xfId="523"/>
    <cellStyle name="Input [yellow] 4 3 2" xfId="524"/>
    <cellStyle name="Input [yellow] 4 3 3" xfId="525"/>
    <cellStyle name="Input [yellow] 4 4" xfId="526"/>
    <cellStyle name="Input [yellow] 4 5" xfId="527"/>
    <cellStyle name="Input [yellow] 5" xfId="528"/>
    <cellStyle name="Input [yellow] 5 2" xfId="529"/>
    <cellStyle name="Input [yellow] 5 2 2" xfId="530"/>
    <cellStyle name="Input [yellow] 5 2 2 2" xfId="531"/>
    <cellStyle name="Input [yellow] 5 2 2 3" xfId="532"/>
    <cellStyle name="Input [yellow] 5 2 3" xfId="533"/>
    <cellStyle name="Input [yellow] 5 2 4" xfId="534"/>
    <cellStyle name="Input [yellow] 5 3" xfId="535"/>
    <cellStyle name="Input [yellow] 5 3 2" xfId="536"/>
    <cellStyle name="Input [yellow] 5 3 3" xfId="537"/>
    <cellStyle name="Input [yellow] 6" xfId="538"/>
    <cellStyle name="Input [yellow] 7" xfId="539"/>
    <cellStyle name="Input 2" xfId="153"/>
    <cellStyle name="Input 2 2" xfId="540"/>
    <cellStyle name="Input 2 2 2" xfId="541"/>
    <cellStyle name="Input 2 2 2 2" xfId="542"/>
    <cellStyle name="Input 2 2 2 2 2" xfId="543"/>
    <cellStyle name="Input 2 2 2 2 3" xfId="544"/>
    <cellStyle name="Input 2 2 2 3" xfId="545"/>
    <cellStyle name="Input 2 2 2 3 2" xfId="546"/>
    <cellStyle name="Input 2 2 2 3 3" xfId="547"/>
    <cellStyle name="Input 2 2 3" xfId="548"/>
    <cellStyle name="Input 2 2 3 2" xfId="549"/>
    <cellStyle name="Input 2 2 3 3" xfId="550"/>
    <cellStyle name="Input 2 2 4" xfId="551"/>
    <cellStyle name="Input 2 2 4 2" xfId="552"/>
    <cellStyle name="Input 2 2 4 3" xfId="553"/>
    <cellStyle name="Input 2 2 5" xfId="554"/>
    <cellStyle name="Input 2 2 6" xfId="555"/>
    <cellStyle name="Input 2 3" xfId="556"/>
    <cellStyle name="Input 2 3 2" xfId="557"/>
    <cellStyle name="Input 2 3 2 2" xfId="558"/>
    <cellStyle name="Input 2 3 2 2 2" xfId="559"/>
    <cellStyle name="Input 2 3 2 2 3" xfId="560"/>
    <cellStyle name="Input 2 3 2 3" xfId="561"/>
    <cellStyle name="Input 2 3 2 3 2" xfId="562"/>
    <cellStyle name="Input 2 3 2 3 3" xfId="563"/>
    <cellStyle name="Input 2 3 3" xfId="564"/>
    <cellStyle name="Input 2 3 3 2" xfId="565"/>
    <cellStyle name="Input 2 3 3 3" xfId="566"/>
    <cellStyle name="Input 2 3 4" xfId="567"/>
    <cellStyle name="Input 2 3 4 2" xfId="568"/>
    <cellStyle name="Input 2 3 4 3" xfId="569"/>
    <cellStyle name="Input 2 4" xfId="570"/>
    <cellStyle name="Input 2 4 2" xfId="571"/>
    <cellStyle name="Input 2 4 2 2" xfId="572"/>
    <cellStyle name="Input 2 4 2 3" xfId="573"/>
    <cellStyle name="Input 2 4 3" xfId="574"/>
    <cellStyle name="Input 2 4 3 2" xfId="575"/>
    <cellStyle name="Input 2 4 3 3" xfId="576"/>
    <cellStyle name="Input 2 4 4" xfId="577"/>
    <cellStyle name="Input 2 4 4 2" xfId="578"/>
    <cellStyle name="Input 2 4 4 3" xfId="579"/>
    <cellStyle name="Input 2 5" xfId="580"/>
    <cellStyle name="Input 2 5 2" xfId="581"/>
    <cellStyle name="Input 2 5 2 2" xfId="582"/>
    <cellStyle name="Input 2 5 2 3" xfId="583"/>
    <cellStyle name="Input 2 5 3" xfId="584"/>
    <cellStyle name="Input 2 5 3 2" xfId="585"/>
    <cellStyle name="Input 2 5 3 3" xfId="586"/>
    <cellStyle name="Input 2 6" xfId="587"/>
    <cellStyle name="Input 2 6 2" xfId="588"/>
    <cellStyle name="Input 2 6 3" xfId="589"/>
    <cellStyle name="Input 2 7" xfId="590"/>
    <cellStyle name="Input 2 7 2" xfId="591"/>
    <cellStyle name="Input 2 7 3" xfId="592"/>
    <cellStyle name="Input 3" xfId="154"/>
    <cellStyle name="Input 3 2" xfId="593"/>
    <cellStyle name="Input 3 2 2" xfId="594"/>
    <cellStyle name="Input 3 2 2 2" xfId="595"/>
    <cellStyle name="Input 3 2 2 2 2" xfId="596"/>
    <cellStyle name="Input 3 2 2 2 3" xfId="597"/>
    <cellStyle name="Input 3 2 2 3" xfId="598"/>
    <cellStyle name="Input 3 2 2 3 2" xfId="599"/>
    <cellStyle name="Input 3 2 2 3 3" xfId="600"/>
    <cellStyle name="Input 3 2 3" xfId="601"/>
    <cellStyle name="Input 3 2 3 2" xfId="602"/>
    <cellStyle name="Input 3 2 3 3" xfId="603"/>
    <cellStyle name="Input 3 2 4" xfId="604"/>
    <cellStyle name="Input 3 2 4 2" xfId="605"/>
    <cellStyle name="Input 3 2 4 3" xfId="606"/>
    <cellStyle name="Input 3 2 5" xfId="607"/>
    <cellStyle name="Input 3 2 6" xfId="608"/>
    <cellStyle name="Input 3 3" xfId="609"/>
    <cellStyle name="Input 3 3 2" xfId="610"/>
    <cellStyle name="Input 3 3 2 2" xfId="611"/>
    <cellStyle name="Input 3 3 2 2 2" xfId="612"/>
    <cellStyle name="Input 3 3 2 2 3" xfId="613"/>
    <cellStyle name="Input 3 3 2 3" xfId="614"/>
    <cellStyle name="Input 3 3 2 3 2" xfId="615"/>
    <cellStyle name="Input 3 3 2 3 3" xfId="616"/>
    <cellStyle name="Input 3 3 3" xfId="617"/>
    <cellStyle name="Input 3 3 3 2" xfId="618"/>
    <cellStyle name="Input 3 3 3 3" xfId="619"/>
    <cellStyle name="Input 3 3 4" xfId="620"/>
    <cellStyle name="Input 3 3 4 2" xfId="621"/>
    <cellStyle name="Input 3 3 4 3" xfId="622"/>
    <cellStyle name="Input 3 4" xfId="623"/>
    <cellStyle name="Input 3 4 2" xfId="624"/>
    <cellStyle name="Input 3 4 2 2" xfId="625"/>
    <cellStyle name="Input 3 4 2 3" xfId="626"/>
    <cellStyle name="Input 3 4 3" xfId="627"/>
    <cellStyle name="Input 3 4 3 2" xfId="628"/>
    <cellStyle name="Input 3 4 3 3" xfId="629"/>
    <cellStyle name="Input 3 4 4" xfId="630"/>
    <cellStyle name="Input 3 4 4 2" xfId="631"/>
    <cellStyle name="Input 3 4 4 3" xfId="632"/>
    <cellStyle name="Input 3 5" xfId="633"/>
    <cellStyle name="Input 3 5 2" xfId="634"/>
    <cellStyle name="Input 3 5 2 2" xfId="635"/>
    <cellStyle name="Input 3 5 2 3" xfId="636"/>
    <cellStyle name="Input 3 5 3" xfId="637"/>
    <cellStyle name="Input 3 5 3 2" xfId="638"/>
    <cellStyle name="Input 3 5 3 3" xfId="639"/>
    <cellStyle name="Input 3 6" xfId="640"/>
    <cellStyle name="Input 3 6 2" xfId="641"/>
    <cellStyle name="Input 3 6 3" xfId="642"/>
    <cellStyle name="Input 3 7" xfId="643"/>
    <cellStyle name="Input 3 7 2" xfId="644"/>
    <cellStyle name="Input 3 7 3" xfId="645"/>
    <cellStyle name="Input 4" xfId="155"/>
    <cellStyle name="Input 4 2" xfId="646"/>
    <cellStyle name="Input 4 2 2" xfId="647"/>
    <cellStyle name="Input 4 2 2 2" xfId="648"/>
    <cellStyle name="Input 4 2 2 2 2" xfId="649"/>
    <cellStyle name="Input 4 2 2 2 3" xfId="650"/>
    <cellStyle name="Input 4 2 2 3" xfId="651"/>
    <cellStyle name="Input 4 2 2 3 2" xfId="652"/>
    <cellStyle name="Input 4 2 2 3 3" xfId="653"/>
    <cellStyle name="Input 4 2 3" xfId="654"/>
    <cellStyle name="Input 4 2 3 2" xfId="655"/>
    <cellStyle name="Input 4 2 3 3" xfId="656"/>
    <cellStyle name="Input 4 2 4" xfId="657"/>
    <cellStyle name="Input 4 2 4 2" xfId="658"/>
    <cellStyle name="Input 4 2 4 3" xfId="659"/>
    <cellStyle name="Input 4 2 5" xfId="660"/>
    <cellStyle name="Input 4 2 6" xfId="661"/>
    <cellStyle name="Input 4 3" xfId="662"/>
    <cellStyle name="Input 4 3 2" xfId="663"/>
    <cellStyle name="Input 4 3 2 2" xfId="664"/>
    <cellStyle name="Input 4 3 2 2 2" xfId="665"/>
    <cellStyle name="Input 4 3 2 2 3" xfId="666"/>
    <cellStyle name="Input 4 3 2 3" xfId="667"/>
    <cellStyle name="Input 4 3 2 3 2" xfId="668"/>
    <cellStyle name="Input 4 3 2 3 3" xfId="669"/>
    <cellStyle name="Input 4 3 3" xfId="670"/>
    <cellStyle name="Input 4 3 3 2" xfId="671"/>
    <cellStyle name="Input 4 3 3 3" xfId="672"/>
    <cellStyle name="Input 4 3 4" xfId="673"/>
    <cellStyle name="Input 4 3 4 2" xfId="674"/>
    <cellStyle name="Input 4 3 4 3" xfId="675"/>
    <cellStyle name="Input 4 4" xfId="676"/>
    <cellStyle name="Input 4 4 2" xfId="677"/>
    <cellStyle name="Input 4 4 2 2" xfId="678"/>
    <cellStyle name="Input 4 4 2 3" xfId="679"/>
    <cellStyle name="Input 4 4 3" xfId="680"/>
    <cellStyle name="Input 4 4 3 2" xfId="681"/>
    <cellStyle name="Input 4 4 3 3" xfId="682"/>
    <cellStyle name="Input 4 4 4" xfId="683"/>
    <cellStyle name="Input 4 4 4 2" xfId="684"/>
    <cellStyle name="Input 4 4 4 3" xfId="685"/>
    <cellStyle name="Input 4 5" xfId="686"/>
    <cellStyle name="Input 4 5 2" xfId="687"/>
    <cellStyle name="Input 4 5 2 2" xfId="688"/>
    <cellStyle name="Input 4 5 2 3" xfId="689"/>
    <cellStyle name="Input 4 5 3" xfId="690"/>
    <cellStyle name="Input 4 5 3 2" xfId="691"/>
    <cellStyle name="Input 4 5 3 3" xfId="692"/>
    <cellStyle name="Input 4 6" xfId="693"/>
    <cellStyle name="Input 4 6 2" xfId="694"/>
    <cellStyle name="Input 4 6 3" xfId="695"/>
    <cellStyle name="Input 4 7" xfId="696"/>
    <cellStyle name="Input 4 7 2" xfId="697"/>
    <cellStyle name="Input 4 7 3" xfId="698"/>
    <cellStyle name="Input$0" xfId="699"/>
    <cellStyle name="Input$1" xfId="700"/>
    <cellStyle name="Input$2" xfId="701"/>
    <cellStyle name="Input0" xfId="702"/>
    <cellStyle name="Input1" xfId="703"/>
    <cellStyle name="Input1x" xfId="704"/>
    <cellStyle name="Input2" xfId="705"/>
    <cellStyle name="Input2x" xfId="706"/>
    <cellStyle name="lborder" xfId="707"/>
    <cellStyle name="Linked Cell 2" xfId="156"/>
    <cellStyle name="m" xfId="708"/>
    <cellStyle name="m1" xfId="709"/>
    <cellStyle name="m2" xfId="710"/>
    <cellStyle name="m3" xfId="711"/>
    <cellStyle name="Negative" xfId="712"/>
    <cellStyle name="Neutral 2" xfId="157"/>
    <cellStyle name="Normal" xfId="0" builtinId="0"/>
    <cellStyle name="Normal - Style1" xfId="158"/>
    <cellStyle name="Normal 10" xfId="159"/>
    <cellStyle name="Normal 10 2" xfId="713"/>
    <cellStyle name="Normal 11" xfId="160"/>
    <cellStyle name="Normal 11 2" xfId="714"/>
    <cellStyle name="Normal 11 3" xfId="715"/>
    <cellStyle name="Normal 12" xfId="161"/>
    <cellStyle name="Normal 13" xfId="162"/>
    <cellStyle name="Normal 14" xfId="163"/>
    <cellStyle name="Normal 14 8" xfId="716"/>
    <cellStyle name="Normal 14 8 2" xfId="717"/>
    <cellStyle name="Normal 14 8 2 2" xfId="718"/>
    <cellStyle name="Normal 14 8 3" xfId="719"/>
    <cellStyle name="Normal 15" xfId="4"/>
    <cellStyle name="Normal 15 2" xfId="720"/>
    <cellStyle name="Normal 15 2 2" xfId="721"/>
    <cellStyle name="Normal 15 3" xfId="722"/>
    <cellStyle name="Normal 16" xfId="240"/>
    <cellStyle name="Normal 16 2" xfId="723"/>
    <cellStyle name="Normal 16 2 2" xfId="724"/>
    <cellStyle name="Normal 16 3" xfId="725"/>
    <cellStyle name="Normal 17" xfId="726"/>
    <cellStyle name="Normal 18" xfId="727"/>
    <cellStyle name="Normal 19" xfId="728"/>
    <cellStyle name="Normal 2" xfId="164"/>
    <cellStyle name="Normal 2 2" xfId="165"/>
    <cellStyle name="Normal 2 2 2" xfId="729"/>
    <cellStyle name="Normal 2 2 3" xfId="730"/>
    <cellStyle name="Normal 2 3" xfId="166"/>
    <cellStyle name="Normal 2 4" xfId="231"/>
    <cellStyle name="Normal 2 4 2" xfId="236"/>
    <cellStyle name="Normal 2 4 2 2" xfId="731"/>
    <cellStyle name="Normal 2 4 3" xfId="732"/>
    <cellStyle name="Normal 2 5" xfId="733"/>
    <cellStyle name="Normal 2 5 2" xfId="734"/>
    <cellStyle name="Normal 20" xfId="735"/>
    <cellStyle name="Normal 21" xfId="736"/>
    <cellStyle name="Normal 21 2" xfId="737"/>
    <cellStyle name="Normal 22" xfId="738"/>
    <cellStyle name="Normal 23" xfId="739"/>
    <cellStyle name="Normal 24" xfId="740"/>
    <cellStyle name="Normal 25" xfId="741"/>
    <cellStyle name="Normal 26" xfId="742"/>
    <cellStyle name="Normal 27" xfId="743"/>
    <cellStyle name="Normal 28" xfId="744"/>
    <cellStyle name="Normal 29" xfId="745"/>
    <cellStyle name="Normal 3" xfId="167"/>
    <cellStyle name="Normal 3 2" xfId="746"/>
    <cellStyle name="Normal 3 3" xfId="747"/>
    <cellStyle name="Normal 3 4" xfId="748"/>
    <cellStyle name="Normal 3 5" xfId="749"/>
    <cellStyle name="Normal 3 6" xfId="750"/>
    <cellStyle name="Normal 3_ITC-Great Plains Heintz 6-24-08a" xfId="751"/>
    <cellStyle name="Normal 4" xfId="168"/>
    <cellStyle name="Normal 4 2" xfId="169"/>
    <cellStyle name="Normal 4 2 2" xfId="752"/>
    <cellStyle name="Normal 4 2 3" xfId="753"/>
    <cellStyle name="Normal 4 3" xfId="754"/>
    <cellStyle name="Normal 4 4" xfId="755"/>
    <cellStyle name="Normal 4_ITC-Great Plains Heintz 6-24-08a" xfId="756"/>
    <cellStyle name="Normal 5" xfId="170"/>
    <cellStyle name="Normal 5 2" xfId="757"/>
    <cellStyle name="Normal 5 3" xfId="758"/>
    <cellStyle name="Normal 5 4" xfId="759"/>
    <cellStyle name="Normal 6" xfId="171"/>
    <cellStyle name="Normal 6 2" xfId="760"/>
    <cellStyle name="Normal 6 3" xfId="761"/>
    <cellStyle name="Normal 6 3 2" xfId="762"/>
    <cellStyle name="Normal 6 4" xfId="763"/>
    <cellStyle name="Normal 7" xfId="172"/>
    <cellStyle name="Normal 7 2" xfId="764"/>
    <cellStyle name="Normal 7 3" xfId="765"/>
    <cellStyle name="Normal 8" xfId="173"/>
    <cellStyle name="Normal 9" xfId="174"/>
    <cellStyle name="Normal 9 2" xfId="766"/>
    <cellStyle name="Normal 9 2 2" xfId="767"/>
    <cellStyle name="Normal_Attachment O &amp; GG Final 11_11_09" xfId="234"/>
    <cellStyle name="Note 2" xfId="175"/>
    <cellStyle name="Note 2 2" xfId="768"/>
    <cellStyle name="Note 2 2 2" xfId="769"/>
    <cellStyle name="Note 2 2 2 2" xfId="770"/>
    <cellStyle name="Note 2 2 2 2 2" xfId="771"/>
    <cellStyle name="Note 2 2 2 2 3" xfId="772"/>
    <cellStyle name="Note 2 2 2 3" xfId="773"/>
    <cellStyle name="Note 2 2 2 3 2" xfId="774"/>
    <cellStyle name="Note 2 2 2 3 3" xfId="775"/>
    <cellStyle name="Note 2 2 3" xfId="776"/>
    <cellStyle name="Note 2 2 3 2" xfId="777"/>
    <cellStyle name="Note 2 2 3 3" xfId="778"/>
    <cellStyle name="Note 2 2 4" xfId="779"/>
    <cellStyle name="Note 2 2 4 2" xfId="780"/>
    <cellStyle name="Note 2 2 4 3" xfId="781"/>
    <cellStyle name="Note 2 2 5" xfId="782"/>
    <cellStyle name="Note 2 2 6" xfId="783"/>
    <cellStyle name="Note 2 3" xfId="784"/>
    <cellStyle name="Note 2 3 2" xfId="785"/>
    <cellStyle name="Note 2 3 2 2" xfId="786"/>
    <cellStyle name="Note 2 3 2 2 2" xfId="787"/>
    <cellStyle name="Note 2 3 2 2 3" xfId="788"/>
    <cellStyle name="Note 2 3 2 3" xfId="789"/>
    <cellStyle name="Note 2 3 2 3 2" xfId="790"/>
    <cellStyle name="Note 2 3 2 3 3" xfId="791"/>
    <cellStyle name="Note 2 3 3" xfId="792"/>
    <cellStyle name="Note 2 3 3 2" xfId="793"/>
    <cellStyle name="Note 2 3 3 3" xfId="794"/>
    <cellStyle name="Note 2 3 4" xfId="795"/>
    <cellStyle name="Note 2 3 4 2" xfId="796"/>
    <cellStyle name="Note 2 3 4 3" xfId="797"/>
    <cellStyle name="Note 2 4" xfId="798"/>
    <cellStyle name="Note 2 4 2" xfId="799"/>
    <cellStyle name="Note 2 4 2 2" xfId="800"/>
    <cellStyle name="Note 2 4 2 2 2" xfId="801"/>
    <cellStyle name="Note 2 4 2 2 3" xfId="802"/>
    <cellStyle name="Note 2 4 2 3" xfId="803"/>
    <cellStyle name="Note 2 4 2 3 2" xfId="804"/>
    <cellStyle name="Note 2 4 2 3 3" xfId="805"/>
    <cellStyle name="Note 2 4 3" xfId="806"/>
    <cellStyle name="Note 2 4 3 2" xfId="807"/>
    <cellStyle name="Note 2 4 3 3" xfId="808"/>
    <cellStyle name="Note 2 4 4" xfId="809"/>
    <cellStyle name="Note 2 4 4 2" xfId="810"/>
    <cellStyle name="Note 2 4 4 3" xfId="811"/>
    <cellStyle name="Note 2 5" xfId="812"/>
    <cellStyle name="Note 2 5 2" xfId="813"/>
    <cellStyle name="Note 2 5 2 2" xfId="814"/>
    <cellStyle name="Note 2 5 2 3" xfId="815"/>
    <cellStyle name="Note 2 5 3" xfId="816"/>
    <cellStyle name="Note 2 5 3 2" xfId="817"/>
    <cellStyle name="Note 2 5 3 3" xfId="818"/>
    <cellStyle name="Note 2 5 4" xfId="819"/>
    <cellStyle name="Note 2 5 4 2" xfId="820"/>
    <cellStyle name="Note 2 5 4 3" xfId="821"/>
    <cellStyle name="Note 2 6" xfId="822"/>
    <cellStyle name="Note 2 6 2" xfId="823"/>
    <cellStyle name="Note 2 6 2 2" xfId="824"/>
    <cellStyle name="Note 2 6 2 3" xfId="825"/>
    <cellStyle name="Note 2 6 3" xfId="826"/>
    <cellStyle name="Note 2 6 3 2" xfId="827"/>
    <cellStyle name="Note 2 6 3 3" xfId="828"/>
    <cellStyle name="Note 2 7" xfId="829"/>
    <cellStyle name="Note 2 7 2" xfId="830"/>
    <cellStyle name="Note 2 7 3" xfId="831"/>
    <cellStyle name="Note 2 8" xfId="832"/>
    <cellStyle name="Note 2 8 2" xfId="833"/>
    <cellStyle name="Note 2 8 3" xfId="834"/>
    <cellStyle name="Note 2 9" xfId="835"/>
    <cellStyle name="Note 2 9 2" xfId="836"/>
    <cellStyle name="Note 2 9 3" xfId="837"/>
    <cellStyle name="Output 2" xfId="176"/>
    <cellStyle name="Output 2 2" xfId="838"/>
    <cellStyle name="Output 2 2 2" xfId="839"/>
    <cellStyle name="Output 2 2 2 2" xfId="840"/>
    <cellStyle name="Output 2 2 2 3" xfId="841"/>
    <cellStyle name="Output 2 2 3" xfId="842"/>
    <cellStyle name="Output 2 2 3 2" xfId="843"/>
    <cellStyle name="Output 2 2 3 3" xfId="844"/>
    <cellStyle name="Output 2 2 4" xfId="845"/>
    <cellStyle name="Output 2 2 4 2" xfId="846"/>
    <cellStyle name="Output 2 2 4 3" xfId="847"/>
    <cellStyle name="Output 2 3" xfId="848"/>
    <cellStyle name="Output 2 3 2" xfId="849"/>
    <cellStyle name="Output 2 3 3" xfId="850"/>
    <cellStyle name="Output 2 4" xfId="851"/>
    <cellStyle name="Output 2 4 2" xfId="852"/>
    <cellStyle name="Output 2 4 3" xfId="853"/>
    <cellStyle name="Output 2 5" xfId="854"/>
    <cellStyle name="Output 2 5 2" xfId="855"/>
    <cellStyle name="Output 2 5 3" xfId="856"/>
    <cellStyle name="p" xfId="857"/>
    <cellStyle name="p1" xfId="858"/>
    <cellStyle name="p2" xfId="859"/>
    <cellStyle name="p3" xfId="860"/>
    <cellStyle name="Percent" xfId="3" builtinId="5"/>
    <cellStyle name="Percent %" xfId="861"/>
    <cellStyle name="Percent % Long Underline" xfId="862"/>
    <cellStyle name="Percent (0)" xfId="863"/>
    <cellStyle name="Percent [2]" xfId="177"/>
    <cellStyle name="Percent 0.0%" xfId="864"/>
    <cellStyle name="Percent 0.0% Long Underline" xfId="865"/>
    <cellStyle name="Percent 0.00%" xfId="866"/>
    <cellStyle name="Percent 0.00% Long Underline" xfId="867"/>
    <cellStyle name="Percent 0.000%" xfId="868"/>
    <cellStyle name="Percent 0.000% Long Underline" xfId="869"/>
    <cellStyle name="Percent 0.0000%" xfId="870"/>
    <cellStyle name="Percent 0.0000% Long Underline" xfId="871"/>
    <cellStyle name="Percent 10" xfId="872"/>
    <cellStyle name="Percent 11" xfId="873"/>
    <cellStyle name="Percent 12" xfId="874"/>
    <cellStyle name="Percent 13" xfId="875"/>
    <cellStyle name="Percent 14" xfId="876"/>
    <cellStyle name="Percent 15" xfId="877"/>
    <cellStyle name="Percent 16" xfId="878"/>
    <cellStyle name="Percent 17" xfId="879"/>
    <cellStyle name="Percent 18" xfId="880"/>
    <cellStyle name="Percent 19" xfId="881"/>
    <cellStyle name="Percent 19 2" xfId="882"/>
    <cellStyle name="Percent 2" xfId="178"/>
    <cellStyle name="Percent 2 2" xfId="179"/>
    <cellStyle name="Percent 2 2 2" xfId="883"/>
    <cellStyle name="Percent 2 2 3" xfId="884"/>
    <cellStyle name="Percent 2 3" xfId="235"/>
    <cellStyle name="Percent 2 3 2" xfId="239"/>
    <cellStyle name="Percent 2 3 2 2" xfId="885"/>
    <cellStyle name="Percent 2 3 3" xfId="886"/>
    <cellStyle name="Percent 2 4" xfId="887"/>
    <cellStyle name="Percent 2 4 2" xfId="888"/>
    <cellStyle name="Percent 2 5" xfId="889"/>
    <cellStyle name="Percent 20" xfId="890"/>
    <cellStyle name="Percent 21" xfId="891"/>
    <cellStyle name="Percent 22" xfId="892"/>
    <cellStyle name="Percent 23" xfId="893"/>
    <cellStyle name="Percent 24" xfId="894"/>
    <cellStyle name="Percent 25" xfId="895"/>
    <cellStyle name="Percent 3" xfId="180"/>
    <cellStyle name="Percent 3 2" xfId="896"/>
    <cellStyle name="Percent 3 3" xfId="897"/>
    <cellStyle name="Percent 3 4" xfId="898"/>
    <cellStyle name="Percent 4" xfId="181"/>
    <cellStyle name="Percent 5" xfId="182"/>
    <cellStyle name="Percent 6" xfId="183"/>
    <cellStyle name="Percent 6 2" xfId="899"/>
    <cellStyle name="Percent 6 3" xfId="900"/>
    <cellStyle name="Percent 7" xfId="184"/>
    <cellStyle name="Percent 8" xfId="185"/>
    <cellStyle name="Percent 8 2" xfId="901"/>
    <cellStyle name="Percent 8 3" xfId="902"/>
    <cellStyle name="Percent 9" xfId="241"/>
    <cellStyle name="Percent 9 2" xfId="903"/>
    <cellStyle name="Percent 9 2 2" xfId="904"/>
    <cellStyle name="Percent 9 3" xfId="905"/>
    <cellStyle name="Percent0" xfId="906"/>
    <cellStyle name="Percent1" xfId="907"/>
    <cellStyle name="Percent2" xfId="908"/>
    <cellStyle name="PSChar" xfId="186"/>
    <cellStyle name="PSDate" xfId="187"/>
    <cellStyle name="PSDec" xfId="188"/>
    <cellStyle name="PSdesc" xfId="189"/>
    <cellStyle name="PSHeading" xfId="190"/>
    <cellStyle name="PSInt" xfId="191"/>
    <cellStyle name="PSSpacer" xfId="192"/>
    <cellStyle name="PStest" xfId="193"/>
    <cellStyle name="R00A" xfId="194"/>
    <cellStyle name="R00B" xfId="195"/>
    <cellStyle name="R00L" xfId="196"/>
    <cellStyle name="R01A" xfId="197"/>
    <cellStyle name="R01B" xfId="198"/>
    <cellStyle name="R01B 2" xfId="909"/>
    <cellStyle name="R01B 2 2" xfId="910"/>
    <cellStyle name="R01B 2 2 2" xfId="911"/>
    <cellStyle name="R01B 2 2 2 2" xfId="912"/>
    <cellStyle name="R01B 2 2 2 3" xfId="913"/>
    <cellStyle name="R01B 2 2 3" xfId="914"/>
    <cellStyle name="R01B 2 2 3 2" xfId="915"/>
    <cellStyle name="R01B 2 2 3 3" xfId="916"/>
    <cellStyle name="R01B 2 3" xfId="917"/>
    <cellStyle name="R01B 2 3 2" xfId="918"/>
    <cellStyle name="R01B 2 3 2 2" xfId="919"/>
    <cellStyle name="R01B 2 3 2 3" xfId="920"/>
    <cellStyle name="R01B 2 3 3" xfId="921"/>
    <cellStyle name="R01B 2 3 4" xfId="922"/>
    <cellStyle name="R01B 2 4" xfId="923"/>
    <cellStyle name="R01B 2 4 2" xfId="924"/>
    <cellStyle name="R01B 2 4 3" xfId="925"/>
    <cellStyle name="R01B 2 5" xfId="926"/>
    <cellStyle name="R01B 2 6" xfId="927"/>
    <cellStyle name="R01B 3" xfId="928"/>
    <cellStyle name="R01B 3 2" xfId="929"/>
    <cellStyle name="R01B 3 2 2" xfId="930"/>
    <cellStyle name="R01B 3 2 3" xfId="931"/>
    <cellStyle name="R01B 3 3" xfId="932"/>
    <cellStyle name="R01B 3 3 2" xfId="933"/>
    <cellStyle name="R01B 3 3 3" xfId="934"/>
    <cellStyle name="R01B 3 4" xfId="935"/>
    <cellStyle name="R01B 3 5" xfId="936"/>
    <cellStyle name="R01B 4" xfId="937"/>
    <cellStyle name="R01B 4 2" xfId="938"/>
    <cellStyle name="R01B 4 2 2" xfId="939"/>
    <cellStyle name="R01B 4 2 2 2" xfId="940"/>
    <cellStyle name="R01B 4 2 2 3" xfId="941"/>
    <cellStyle name="R01B 4 2 3" xfId="942"/>
    <cellStyle name="R01B 4 2 4" xfId="943"/>
    <cellStyle name="R01B 4 3" xfId="944"/>
    <cellStyle name="R01B 4 3 2" xfId="945"/>
    <cellStyle name="R01B 4 3 3" xfId="946"/>
    <cellStyle name="R01B 4 4" xfId="947"/>
    <cellStyle name="R01B 4 5" xfId="948"/>
    <cellStyle name="R01B 5" xfId="949"/>
    <cellStyle name="R01B 5 2" xfId="950"/>
    <cellStyle name="R01B 5 2 2" xfId="951"/>
    <cellStyle name="R01B 5 2 2 2" xfId="952"/>
    <cellStyle name="R01B 5 2 2 3" xfId="953"/>
    <cellStyle name="R01B 5 2 3" xfId="954"/>
    <cellStyle name="R01B 5 2 4" xfId="955"/>
    <cellStyle name="R01B 5 3" xfId="956"/>
    <cellStyle name="R01B 5 3 2" xfId="957"/>
    <cellStyle name="R01B 5 3 3" xfId="958"/>
    <cellStyle name="R01H" xfId="199"/>
    <cellStyle name="R01L" xfId="200"/>
    <cellStyle name="R02A" xfId="201"/>
    <cellStyle name="R02B" xfId="202"/>
    <cellStyle name="R02H" xfId="203"/>
    <cellStyle name="R02L" xfId="204"/>
    <cellStyle name="R03A" xfId="205"/>
    <cellStyle name="R03B" xfId="206"/>
    <cellStyle name="R03H" xfId="207"/>
    <cellStyle name="R03L" xfId="208"/>
    <cellStyle name="R04A" xfId="209"/>
    <cellStyle name="R04B" xfId="210"/>
    <cellStyle name="R04H" xfId="211"/>
    <cellStyle name="R04L" xfId="212"/>
    <cellStyle name="R05A" xfId="213"/>
    <cellStyle name="R05B" xfId="214"/>
    <cellStyle name="R05H" xfId="215"/>
    <cellStyle name="R05L" xfId="216"/>
    <cellStyle name="R06A" xfId="217"/>
    <cellStyle name="R06B" xfId="218"/>
    <cellStyle name="R06H" xfId="219"/>
    <cellStyle name="R06L" xfId="220"/>
    <cellStyle name="R07A" xfId="221"/>
    <cellStyle name="R07B" xfId="222"/>
    <cellStyle name="R07H" xfId="223"/>
    <cellStyle name="R07L" xfId="224"/>
    <cellStyle name="rborder" xfId="959"/>
    <cellStyle name="red" xfId="960"/>
    <cellStyle name="RevList" xfId="225"/>
    <cellStyle name="s_HardInc " xfId="961"/>
    <cellStyle name="SAPBEXchaText 2 10" xfId="962"/>
    <cellStyle name="SAPBEXchaText 2 10 2" xfId="963"/>
    <cellStyle name="SAPBEXchaText 2 10 2 2" xfId="964"/>
    <cellStyle name="SAPBEXchaText 2 10 2 2 2" xfId="965"/>
    <cellStyle name="SAPBEXchaText 2 10 2 2 3" xfId="966"/>
    <cellStyle name="SAPBEXchaText 2 10 2 3" xfId="967"/>
    <cellStyle name="SAPBEXchaText 2 10 2 3 2" xfId="968"/>
    <cellStyle name="SAPBEXchaText 2 10 2 3 3" xfId="969"/>
    <cellStyle name="SAPBEXchaText 2 10 2 4" xfId="970"/>
    <cellStyle name="SAPBEXchaText 2 10 2 4 2" xfId="971"/>
    <cellStyle name="SAPBEXchaText 2 10 2 4 3" xfId="972"/>
    <cellStyle name="SAPBEXchaText 2 10 3" xfId="973"/>
    <cellStyle name="SAPBEXchaText 2 10 3 2" xfId="974"/>
    <cellStyle name="SAPBEXchaText 2 10 3 2 2" xfId="975"/>
    <cellStyle name="SAPBEXchaText 2 10 3 2 3" xfId="976"/>
    <cellStyle name="SAPBEXchaText 2 10 3 3" xfId="977"/>
    <cellStyle name="SAPBEXchaText 2 10 3 3 2" xfId="978"/>
    <cellStyle name="SAPBEXchaText 2 10 3 3 3" xfId="979"/>
    <cellStyle name="SAPBEXchaText 2 10 3 4" xfId="980"/>
    <cellStyle name="SAPBEXchaText 2 10 3 4 2" xfId="981"/>
    <cellStyle name="SAPBEXchaText 2 10 3 4 3" xfId="982"/>
    <cellStyle name="SAPBEXchaText 2 10 4" xfId="983"/>
    <cellStyle name="SAPBEXchaText 2 10 4 2" xfId="984"/>
    <cellStyle name="SAPBEXchaText 2 10 4 3" xfId="985"/>
    <cellStyle name="SAPBEXchaText 2 10 5" xfId="986"/>
    <cellStyle name="SAPBEXchaText 2 10 5 2" xfId="987"/>
    <cellStyle name="SAPBEXchaText 2 10 5 3" xfId="988"/>
    <cellStyle name="SAPBEXchaText 2 10 6" xfId="989"/>
    <cellStyle name="SAPBEXchaText 2 10 6 2" xfId="990"/>
    <cellStyle name="SAPBEXchaText 2 10 6 3" xfId="991"/>
    <cellStyle name="SAPBEXstdItemX 2 10" xfId="992"/>
    <cellStyle name="SAPBEXstdItemX 2 10 2" xfId="993"/>
    <cellStyle name="SAPBEXstdItemX 2 10 2 2" xfId="994"/>
    <cellStyle name="SAPBEXstdItemX 2 10 2 2 2" xfId="995"/>
    <cellStyle name="SAPBEXstdItemX 2 10 2 2 3" xfId="996"/>
    <cellStyle name="SAPBEXstdItemX 2 10 2 3" xfId="997"/>
    <cellStyle name="SAPBEXstdItemX 2 10 2 3 2" xfId="998"/>
    <cellStyle name="SAPBEXstdItemX 2 10 2 3 3" xfId="999"/>
    <cellStyle name="SAPBEXstdItemX 2 10 2 4" xfId="1000"/>
    <cellStyle name="SAPBEXstdItemX 2 10 2 4 2" xfId="1001"/>
    <cellStyle name="SAPBEXstdItemX 2 10 2 4 3" xfId="1002"/>
    <cellStyle name="SAPBEXstdItemX 2 10 3" xfId="1003"/>
    <cellStyle name="SAPBEXstdItemX 2 10 3 2" xfId="1004"/>
    <cellStyle name="SAPBEXstdItemX 2 10 3 2 2" xfId="1005"/>
    <cellStyle name="SAPBEXstdItemX 2 10 3 2 3" xfId="1006"/>
    <cellStyle name="SAPBEXstdItemX 2 10 3 3" xfId="1007"/>
    <cellStyle name="SAPBEXstdItemX 2 10 3 3 2" xfId="1008"/>
    <cellStyle name="SAPBEXstdItemX 2 10 3 3 3" xfId="1009"/>
    <cellStyle name="SAPBEXstdItemX 2 10 3 4" xfId="1010"/>
    <cellStyle name="SAPBEXstdItemX 2 10 3 4 2" xfId="1011"/>
    <cellStyle name="SAPBEXstdItemX 2 10 3 4 3" xfId="1012"/>
    <cellStyle name="SAPBEXstdItemX 2 10 4" xfId="1013"/>
    <cellStyle name="SAPBEXstdItemX 2 10 4 2" xfId="1014"/>
    <cellStyle name="SAPBEXstdItemX 2 10 4 3" xfId="1015"/>
    <cellStyle name="SAPBEXstdItemX 2 10 5" xfId="1016"/>
    <cellStyle name="SAPBEXstdItemX 2 10 5 2" xfId="1017"/>
    <cellStyle name="SAPBEXstdItemX 2 10 5 3" xfId="1018"/>
    <cellStyle name="SAPBEXstdItemX 2 10 6" xfId="1019"/>
    <cellStyle name="SAPBEXstdItemX 2 10 6 2" xfId="1020"/>
    <cellStyle name="SAPBEXstdItemX 2 10 6 3" xfId="1021"/>
    <cellStyle name="SECTION" xfId="1022"/>
    <cellStyle name="Subtotal" xfId="226"/>
    <cellStyle name="System Defined" xfId="1023"/>
    <cellStyle name="TableHeading" xfId="1024"/>
    <cellStyle name="tb" xfId="1025"/>
    <cellStyle name="tb 2" xfId="1026"/>
    <cellStyle name="tb 2 2" xfId="1027"/>
    <cellStyle name="tb 2 2 2" xfId="1028"/>
    <cellStyle name="tb 2 2 3" xfId="1029"/>
    <cellStyle name="tb 2 3" xfId="1030"/>
    <cellStyle name="tb 2 3 2" xfId="1031"/>
    <cellStyle name="tb 2 3 3" xfId="1032"/>
    <cellStyle name="tb 2 4" xfId="1033"/>
    <cellStyle name="tb 3" xfId="1034"/>
    <cellStyle name="tb 3 2" xfId="1035"/>
    <cellStyle name="tb 3 3" xfId="1036"/>
    <cellStyle name="tb 4" xfId="1037"/>
    <cellStyle name="tb 4 2" xfId="1038"/>
    <cellStyle name="tb 4 3" xfId="1039"/>
    <cellStyle name="tb 5" xfId="1040"/>
    <cellStyle name="Tickmark" xfId="1041"/>
    <cellStyle name="Title 2" xfId="227"/>
    <cellStyle name="top" xfId="1042"/>
    <cellStyle name="top 2" xfId="1043"/>
    <cellStyle name="Total 2" xfId="228"/>
    <cellStyle name="Total 3" xfId="229"/>
    <cellStyle name="Total 3 2" xfId="1044"/>
    <cellStyle name="Total 3 2 2" xfId="1045"/>
    <cellStyle name="Total 3 2 2 2" xfId="1046"/>
    <cellStyle name="Total 3 2 2 3" xfId="1047"/>
    <cellStyle name="Total 3 2 3" xfId="1048"/>
    <cellStyle name="Total 3 2 3 2" xfId="1049"/>
    <cellStyle name="Total 3 2 3 3" xfId="1050"/>
    <cellStyle name="Total 3 2 4" xfId="1051"/>
    <cellStyle name="Total 3 2 4 2" xfId="1052"/>
    <cellStyle name="Total 3 2 4 3" xfId="1053"/>
    <cellStyle name="Total 3 3" xfId="1054"/>
    <cellStyle name="Total 3 3 2" xfId="1055"/>
    <cellStyle name="Total 3 3 3" xfId="1056"/>
    <cellStyle name="Total 3 4" xfId="1057"/>
    <cellStyle name="Total 3 4 2" xfId="1058"/>
    <cellStyle name="Total 3 4 3" xfId="1059"/>
    <cellStyle name="Total 3 5" xfId="1060"/>
    <cellStyle name="Total 3 5 2" xfId="1061"/>
    <cellStyle name="Total 3 5 3" xfId="1062"/>
    <cellStyle name="w" xfId="1063"/>
    <cellStyle name="Warning Text 2" xfId="230"/>
    <cellStyle name="XComma" xfId="1064"/>
    <cellStyle name="XComma 0.0" xfId="1065"/>
    <cellStyle name="XComma 0.00" xfId="1066"/>
    <cellStyle name="XComma 0.000" xfId="1067"/>
    <cellStyle name="XCurrency" xfId="1068"/>
    <cellStyle name="XCurrency 0.0" xfId="1069"/>
    <cellStyle name="XCurrency 0.00" xfId="1070"/>
    <cellStyle name="XCurrency 0.000" xfId="1071"/>
    <cellStyle name="yra" xfId="1072"/>
    <cellStyle name="yrActual" xfId="1073"/>
    <cellStyle name="yre" xfId="1074"/>
    <cellStyle name="yrExpect" xfId="1075"/>
    <cellStyle name="yrExpect 2" xfId="1076"/>
    <cellStyle name="yrExpect 2 2" xfId="1077"/>
    <cellStyle name="yrExpect 2 2 2" xfId="1078"/>
    <cellStyle name="yrExpect 2 2 3" xfId="1079"/>
    <cellStyle name="yrExpect 2 3" xfId="1080"/>
    <cellStyle name="yrExpect 2 3 2" xfId="1081"/>
    <cellStyle name="yrExpect 2 3 3" xfId="1082"/>
    <cellStyle name="yrExpect 2 4" xfId="1083"/>
    <cellStyle name="yrExpect 3" xfId="1084"/>
    <cellStyle name="yrExpect 3 2" xfId="1085"/>
    <cellStyle name="yrExpect 3 3" xfId="1086"/>
    <cellStyle name="yrExpect 4" xfId="1087"/>
    <cellStyle name="yrExpect 4 2" xfId="1088"/>
    <cellStyle name="yrExpect 4 3" xfId="1089"/>
    <cellStyle name="yrExpect 5" xfId="109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mnguyen\My%20Documents\c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pkettles\Local%20Settings\Temporary%20Internet%20Files\OLKE\GF%20200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ATE%20STUDY_1\Worthington%20-%202013%20Electric\Wgton%20File\Brewster\Brewster%202013%2006_includes%202012%20wapa%20mres%20split%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aptop\AppData\Local\Microsoft\Windows\Temporary%20Internet%20Files\Content.Outlook\PDWZMCHK\PacifiCorp\Post%20settlement%20Formula%20runs\Copy%20of%202013%20Annual%20Update%2020130506%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ing%20Plan\2009\Capital%20Financing%20Model%20Slower%20Pace03-03-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LN\DLN\miso%20market\attachment%20o\2015\actual\MidAmerican%202015%20Midwest%20ISO%20Attach%20O_Actual_061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ummary"/>
      <sheetName val="Detai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pacity 2003"/>
      <sheetName val="Levy Limit"/>
      <sheetName val="Rev Summary"/>
      <sheetName val="Rev Detail"/>
      <sheetName val="2003 Summary"/>
      <sheetName val="Exp Summary"/>
      <sheetName val="Exp Detail"/>
      <sheetName val="Dept Summary (2)"/>
      <sheetName val="$200K Home"/>
      <sheetName val="Per Cap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ONS"/>
      <sheetName val="TRANSMISSION"/>
      <sheetName val="Brewster Purchases"/>
      <sheetName val="Statement"/>
      <sheetName val="Reads"/>
    </sheetNames>
    <sheetDataSet>
      <sheetData sheetId="0" refreshError="1">
        <row r="8">
          <cell r="C8">
            <v>41456</v>
          </cell>
        </row>
        <row r="11">
          <cell r="C11">
            <v>744</v>
          </cell>
        </row>
        <row r="29">
          <cell r="C29">
            <v>1044</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Appendix A"/>
      <sheetName val="Appendix B"/>
      <sheetName val="Summary of Rates"/>
      <sheetName val="ATT 1 - ADIT"/>
      <sheetName val="ATT 1a - ADIT"/>
      <sheetName val="ATT 2 - Other Taxes"/>
      <sheetName val="2010 3 - Revenue Credits"/>
      <sheetName val="ATT 4 - 100 Basis Point ROE"/>
      <sheetName val="2010 5 - Cost Support"/>
      <sheetName val="ATT 6 - Est &amp; Reconcile WS"/>
      <sheetName val="Gateway PIS monthly"/>
      <sheetName val="Att 7 - Trans Enhance Charge"/>
      <sheetName val="ATT 8 - Depreciation Rates"/>
      <sheetName val="ATT 9a - Load Divisor"/>
      <sheetName val="ATT 9a1 - Load current year"/>
      <sheetName val="ATT 9a2 - Load one year prior"/>
      <sheetName val="ATT 9a3 - Load two years prior"/>
      <sheetName val="ATT 9b - Load Divisor True-up"/>
      <sheetName val="ATT 10 - Acc Amort of PIS"/>
      <sheetName val="ATT 11 - Prepayments"/>
      <sheetName val="ATT 12 - Plant Held Future Use"/>
      <sheetName val="ATT 13 - Revenue Credit Detail"/>
      <sheetName val="ATT 14-Cost of Capital Detail"/>
      <sheetName val="ATT 15 - GSU and Assoc'd Equip"/>
      <sheetName val="ATT 16 - Unfunded Reserves"/>
      <sheetName val="ATT 17 - PBOP"/>
      <sheetName val="Inputs"/>
      <sheetName val="PIS projection"/>
      <sheetName val="PIS true-up"/>
      <sheetName val="FERC Form 1 data"/>
    </sheetNames>
    <sheetDataSet>
      <sheetData sheetId="0"/>
      <sheetData sheetId="1">
        <row r="5">
          <cell r="S5" t="str">
            <v>Projection</v>
          </cell>
        </row>
        <row r="17">
          <cell r="H17">
            <v>7.3398818350960335E-2</v>
          </cell>
        </row>
        <row r="29">
          <cell r="H29">
            <v>0.21851176882254517</v>
          </cell>
        </row>
        <row r="32">
          <cell r="H32">
            <v>0.24176082444075614</v>
          </cell>
        </row>
      </sheetData>
      <sheetData sheetId="2"/>
      <sheetData sheetId="3"/>
      <sheetData sheetId="4"/>
      <sheetData sheetId="5"/>
      <sheetData sheetId="6"/>
      <sheetData sheetId="7"/>
      <sheetData sheetId="8"/>
      <sheetData sheetId="9">
        <row r="166">
          <cell r="J166">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5">
          <cell r="E15">
            <v>160882952</v>
          </cell>
        </row>
      </sheetData>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Electric Fund Historical"/>
      <sheetName val="Electric Fund"/>
      <sheetName val="Water Fund Historical"/>
      <sheetName val="Water Fund"/>
      <sheetName val="Combined Utility"/>
      <sheetName val="Investments-Electric"/>
      <sheetName val="Investments-Water"/>
      <sheetName val="New Electric CIP Debt"/>
      <sheetName val="New Water CIP Debt"/>
      <sheetName val="Reserve Fund Estimate"/>
      <sheetName val="Existing Debt Service Schedule"/>
      <sheetName val="CIP Link"/>
      <sheetName val="CIPInput"/>
      <sheetName val="Year 1"/>
      <sheetName val="Year 2"/>
      <sheetName val="Year 3"/>
      <sheetName val="Year 4"/>
      <sheetName val="Year 5"/>
      <sheetName val="Year 6"/>
      <sheetName val="Year 7"/>
      <sheetName val="Year 8"/>
      <sheetName val="Year 9"/>
      <sheetName val="Year 10"/>
      <sheetName val="Year 11"/>
      <sheetName val="Year 12"/>
      <sheetName val="Year 13"/>
      <sheetName val="Year 14"/>
      <sheetName val="Year 15"/>
      <sheetName val="Electric Depreciation"/>
      <sheetName val="Water Depreciation"/>
      <sheetName val="Elec Exp"/>
      <sheetName val="Elec Rev"/>
      <sheetName val="Water Exp"/>
      <sheetName val="Water Rev"/>
    </sheetNames>
    <sheetDataSet>
      <sheetData sheetId="0" refreshError="1"/>
      <sheetData sheetId="1" refreshError="1"/>
      <sheetData sheetId="2" refreshError="1">
        <row r="1">
          <cell r="D1">
            <v>2009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levelized-IOU"/>
      <sheetName val="Plant Balance"/>
      <sheetName val="Plant Balance - ARO"/>
      <sheetName val="Accum Depr"/>
      <sheetName val="Accum Depr - ARO"/>
      <sheetName val="CWIP"/>
      <sheetName val="ADIT less FAS 109"/>
      <sheetName val="ADIT"/>
      <sheetName val="AFUDC on CWIP"/>
      <sheetName val="Inv Bal"/>
      <sheetName val="Prepay"/>
      <sheetName val="O&amp;M"/>
      <sheetName val="A&amp;G"/>
      <sheetName val="Depreciation"/>
      <sheetName val="Other Tax"/>
      <sheetName val="Amort Inves Tax Credit"/>
      <sheetName val="Acct 561"/>
      <sheetName val="Acct 565"/>
      <sheetName val="FERC Exp &amp; EPRI"/>
      <sheetName val="Labor Ratios"/>
      <sheetName val="Pref Stock"/>
      <sheetName val="Common Equity"/>
      <sheetName val="Acct 216.1"/>
      <sheetName val="Cost of Debt"/>
      <sheetName val="trans for others"/>
      <sheetName val="454 rents"/>
      <sheetName val="Divisor"/>
      <sheetName val="tax"/>
      <sheetName val="footnote k tax"/>
      <sheetName val="2015 Attach O True-Up"/>
      <sheetName val="short term interest rate"/>
    </sheetNames>
    <sheetDataSet>
      <sheetData sheetId="0">
        <row r="46">
          <cell r="I46">
            <v>3785839.083333333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5">
          <cell r="C25">
            <v>2.414714912280702E-4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2"/>
  <sheetViews>
    <sheetView tabSelected="1" zoomScale="80" zoomScaleNormal="80" zoomScaleSheetLayoutView="75" workbookViewId="0"/>
  </sheetViews>
  <sheetFormatPr defaultColWidth="8.90625" defaultRowHeight="15.6"/>
  <cols>
    <col min="1" max="1" width="4.1796875" style="1" customWidth="1"/>
    <col min="2" max="2" width="42.6328125" style="1" customWidth="1"/>
    <col min="3" max="3" width="24.6328125" style="1" customWidth="1"/>
    <col min="4" max="4" width="12.81640625" style="1" customWidth="1"/>
    <col min="5" max="5" width="4.81640625" style="1" customWidth="1"/>
    <col min="6" max="6" width="5.1796875" style="1" customWidth="1"/>
    <col min="7" max="7" width="10.6328125" style="1" customWidth="1"/>
    <col min="8" max="8" width="3.6328125" style="1" customWidth="1"/>
    <col min="9" max="9" width="12.453125" style="1" customWidth="1"/>
    <col min="10" max="10" width="1.453125" style="1" customWidth="1"/>
    <col min="11" max="11" width="10" style="7" customWidth="1"/>
    <col min="12" max="12" width="8.90625" style="1"/>
    <col min="13" max="14" width="10.90625" style="1" customWidth="1"/>
    <col min="15" max="16" width="8.90625" style="1"/>
    <col min="17" max="17" width="10.36328125" style="1" customWidth="1"/>
    <col min="18" max="18" width="8.90625" style="1"/>
    <col min="19" max="19" width="10.1796875" style="1" customWidth="1"/>
    <col min="20" max="16384" width="8.90625" style="1"/>
  </cols>
  <sheetData>
    <row r="1" spans="1:16">
      <c r="B1" s="367"/>
      <c r="C1" s="367"/>
      <c r="D1" s="2"/>
      <c r="E1" s="367"/>
      <c r="F1" s="367"/>
      <c r="G1" s="436"/>
      <c r="H1" s="437"/>
      <c r="I1" s="437"/>
      <c r="J1" s="437"/>
      <c r="K1" s="437"/>
      <c r="M1" s="438" t="s">
        <v>620</v>
      </c>
      <c r="N1" s="439"/>
      <c r="O1" s="439"/>
      <c r="P1" s="440"/>
    </row>
    <row r="2" spans="1:16">
      <c r="B2" s="367"/>
      <c r="C2" s="367"/>
      <c r="D2" s="2"/>
      <c r="E2" s="367"/>
      <c r="F2" s="367"/>
      <c r="G2" s="447" t="s">
        <v>723</v>
      </c>
      <c r="H2" s="447"/>
      <c r="I2" s="447"/>
      <c r="J2" s="447"/>
      <c r="K2" s="447"/>
      <c r="M2" s="441"/>
      <c r="N2" s="442"/>
      <c r="O2" s="442"/>
      <c r="P2" s="443"/>
    </row>
    <row r="3" spans="1:16">
      <c r="B3" s="367"/>
      <c r="C3" s="367"/>
      <c r="D3" s="2"/>
      <c r="E3" s="367"/>
      <c r="F3" s="367"/>
      <c r="G3" s="367"/>
      <c r="H3" s="3"/>
      <c r="I3" s="5"/>
      <c r="J3" s="5"/>
      <c r="K3" s="365"/>
      <c r="M3" s="441"/>
      <c r="N3" s="442"/>
      <c r="O3" s="442"/>
      <c r="P3" s="443"/>
    </row>
    <row r="4" spans="1:16">
      <c r="B4" s="367"/>
      <c r="C4" s="367"/>
      <c r="D4" s="2"/>
      <c r="E4" s="367"/>
      <c r="F4" s="367"/>
      <c r="G4" s="367"/>
      <c r="H4" s="3"/>
      <c r="I4" s="448" t="s">
        <v>608</v>
      </c>
      <c r="J4" s="448"/>
      <c r="K4" s="448"/>
      <c r="M4" s="444"/>
      <c r="N4" s="445"/>
      <c r="O4" s="445"/>
      <c r="P4" s="446"/>
    </row>
    <row r="5" spans="1:16">
      <c r="B5" s="367"/>
      <c r="C5" s="367"/>
      <c r="D5" s="2"/>
      <c r="E5" s="367"/>
      <c r="F5" s="367"/>
      <c r="G5" s="367"/>
      <c r="H5" s="3"/>
      <c r="I5" s="3"/>
      <c r="J5" s="6"/>
      <c r="K5" s="361" t="s">
        <v>459</v>
      </c>
    </row>
    <row r="6" spans="1:16">
      <c r="B6" s="367"/>
      <c r="C6" s="367"/>
      <c r="D6" s="2"/>
      <c r="E6" s="367"/>
      <c r="F6" s="367"/>
      <c r="G6" s="367"/>
      <c r="H6" s="3"/>
      <c r="I6" s="3"/>
      <c r="J6" s="6"/>
      <c r="K6" s="9"/>
    </row>
    <row r="7" spans="1:16">
      <c r="B7" s="367" t="s">
        <v>0</v>
      </c>
      <c r="C7" s="367"/>
      <c r="D7" s="2" t="s">
        <v>261</v>
      </c>
      <c r="E7" s="367"/>
      <c r="F7" s="367"/>
      <c r="G7" s="169"/>
      <c r="H7" s="117"/>
      <c r="I7" s="115"/>
      <c r="J7" s="10"/>
      <c r="K7" s="114" t="s">
        <v>692</v>
      </c>
    </row>
    <row r="8" spans="1:16">
      <c r="B8" s="367"/>
      <c r="C8" s="11" t="s">
        <v>2</v>
      </c>
      <c r="D8" s="11" t="s">
        <v>262</v>
      </c>
      <c r="E8" s="11"/>
      <c r="F8" s="11"/>
      <c r="G8" s="11"/>
      <c r="H8" s="3"/>
      <c r="I8" s="3"/>
      <c r="J8" s="6"/>
      <c r="K8" s="9"/>
    </row>
    <row r="9" spans="1:16">
      <c r="B9" s="6"/>
      <c r="C9" s="6"/>
      <c r="D9" s="6"/>
      <c r="E9" s="6"/>
      <c r="F9" s="6"/>
      <c r="G9" s="6"/>
      <c r="H9" s="6"/>
      <c r="I9" s="6"/>
      <c r="J9" s="6"/>
      <c r="K9" s="9"/>
    </row>
    <row r="10" spans="1:16">
      <c r="A10" s="4"/>
      <c r="B10" s="6"/>
      <c r="C10" s="6"/>
      <c r="D10" s="163" t="s">
        <v>280</v>
      </c>
      <c r="E10" s="164"/>
      <c r="F10" s="164"/>
      <c r="G10" s="164"/>
      <c r="H10" s="6"/>
      <c r="I10" s="6"/>
      <c r="J10" s="6"/>
      <c r="K10" s="9"/>
    </row>
    <row r="11" spans="1:16">
      <c r="A11" s="4"/>
      <c r="B11" s="6"/>
      <c r="C11" s="6"/>
      <c r="D11" s="12"/>
      <c r="E11" s="6"/>
      <c r="F11" s="6"/>
      <c r="G11" s="6"/>
      <c r="H11" s="6"/>
      <c r="I11" s="6"/>
      <c r="J11" s="6"/>
      <c r="K11" s="9"/>
    </row>
    <row r="12" spans="1:16">
      <c r="A12" s="4" t="s">
        <v>4</v>
      </c>
      <c r="B12" s="6"/>
      <c r="C12" s="6"/>
      <c r="D12" s="12"/>
      <c r="E12" s="6"/>
      <c r="F12" s="6"/>
      <c r="G12" s="6"/>
      <c r="H12" s="6"/>
      <c r="I12" s="4" t="s">
        <v>5</v>
      </c>
      <c r="J12" s="6"/>
      <c r="K12" s="9"/>
    </row>
    <row r="13" spans="1:16" ht="16.2" thickBot="1">
      <c r="A13" s="13" t="s">
        <v>6</v>
      </c>
      <c r="B13" s="6"/>
      <c r="C13" s="6"/>
      <c r="D13" s="6"/>
      <c r="E13" s="6"/>
      <c r="F13" s="6"/>
      <c r="G13" s="6"/>
      <c r="H13" s="6"/>
      <c r="I13" s="13" t="s">
        <v>7</v>
      </c>
      <c r="J13" s="6"/>
      <c r="K13" s="9"/>
    </row>
    <row r="14" spans="1:16">
      <c r="A14" s="4">
        <v>1</v>
      </c>
      <c r="B14" s="6" t="s">
        <v>269</v>
      </c>
      <c r="C14" s="6"/>
      <c r="D14" s="14"/>
      <c r="E14" s="6"/>
      <c r="F14" s="6"/>
      <c r="G14" s="6"/>
      <c r="H14" s="6"/>
      <c r="I14" s="131">
        <f>+I214</f>
        <v>124890285.65748408</v>
      </c>
      <c r="J14" s="6"/>
      <c r="K14" s="9"/>
    </row>
    <row r="15" spans="1:16">
      <c r="A15" s="4"/>
      <c r="B15" s="6"/>
      <c r="C15" s="6"/>
      <c r="D15" s="6"/>
      <c r="E15" s="6"/>
      <c r="F15" s="6"/>
      <c r="G15" s="6"/>
      <c r="H15" s="6"/>
      <c r="I15" s="14"/>
      <c r="J15" s="6"/>
      <c r="K15" s="9"/>
    </row>
    <row r="16" spans="1:16" ht="16.2" thickBot="1">
      <c r="A16" s="4" t="s">
        <v>2</v>
      </c>
      <c r="B16" s="362" t="s">
        <v>8</v>
      </c>
      <c r="C16" s="15" t="s">
        <v>185</v>
      </c>
      <c r="D16" s="13" t="s">
        <v>9</v>
      </c>
      <c r="E16" s="11"/>
      <c r="F16" s="16" t="s">
        <v>10</v>
      </c>
      <c r="G16" s="16"/>
      <c r="H16" s="6"/>
      <c r="I16" s="14"/>
      <c r="J16" s="6"/>
      <c r="K16" s="9"/>
    </row>
    <row r="17" spans="1:11">
      <c r="A17" s="4">
        <v>2</v>
      </c>
      <c r="B17" s="362" t="s">
        <v>12</v>
      </c>
      <c r="C17" s="11" t="s">
        <v>152</v>
      </c>
      <c r="D17" s="11">
        <f>I287</f>
        <v>222088.5</v>
      </c>
      <c r="E17" s="11"/>
      <c r="F17" s="11" t="s">
        <v>11</v>
      </c>
      <c r="G17" s="17">
        <f>I238</f>
        <v>1</v>
      </c>
      <c r="H17" s="11"/>
      <c r="I17" s="11">
        <f>+G17*D17</f>
        <v>222088.5</v>
      </c>
      <c r="J17" s="6"/>
      <c r="K17" s="9"/>
    </row>
    <row r="18" spans="1:11">
      <c r="A18" s="4">
        <v>3</v>
      </c>
      <c r="B18" s="362" t="s">
        <v>204</v>
      </c>
      <c r="C18" s="11" t="s">
        <v>153</v>
      </c>
      <c r="D18" s="11">
        <f>I294</f>
        <v>20921479</v>
      </c>
      <c r="E18" s="11"/>
      <c r="F18" s="11" t="str">
        <f t="shared" ref="F18:G20" si="0">+F17</f>
        <v>TP</v>
      </c>
      <c r="G18" s="17">
        <f t="shared" si="0"/>
        <v>1</v>
      </c>
      <c r="H18" s="11"/>
      <c r="I18" s="11">
        <f>+G18*D18</f>
        <v>20921479</v>
      </c>
      <c r="J18" s="6"/>
      <c r="K18" s="9"/>
    </row>
    <row r="19" spans="1:11">
      <c r="A19" s="4">
        <v>4</v>
      </c>
      <c r="B19" s="18" t="s">
        <v>142</v>
      </c>
      <c r="C19" s="11"/>
      <c r="D19" s="19">
        <v>0</v>
      </c>
      <c r="E19" s="11"/>
      <c r="F19" s="11" t="str">
        <f t="shared" si="0"/>
        <v>TP</v>
      </c>
      <c r="G19" s="17">
        <f t="shared" si="0"/>
        <v>1</v>
      </c>
      <c r="H19" s="11"/>
      <c r="I19" s="11">
        <f>+G19*D19</f>
        <v>0</v>
      </c>
      <c r="J19" s="6"/>
      <c r="K19" s="9"/>
    </row>
    <row r="20" spans="1:11" ht="16.2" thickBot="1">
      <c r="A20" s="4">
        <v>5</v>
      </c>
      <c r="B20" s="18" t="s">
        <v>143</v>
      </c>
      <c r="C20" s="11"/>
      <c r="D20" s="19">
        <v>0</v>
      </c>
      <c r="E20" s="11"/>
      <c r="F20" s="11" t="str">
        <f t="shared" si="0"/>
        <v>TP</v>
      </c>
      <c r="G20" s="17">
        <f t="shared" si="0"/>
        <v>1</v>
      </c>
      <c r="H20" s="11"/>
      <c r="I20" s="20">
        <f>+G20*D20</f>
        <v>0</v>
      </c>
      <c r="J20" s="6"/>
      <c r="K20" s="9"/>
    </row>
    <row r="21" spans="1:11">
      <c r="A21" s="4">
        <v>6</v>
      </c>
      <c r="B21" s="362" t="s">
        <v>139</v>
      </c>
      <c r="C21" s="6"/>
      <c r="D21" s="21" t="s">
        <v>2</v>
      </c>
      <c r="E21" s="11"/>
      <c r="F21" s="11"/>
      <c r="G21" s="17"/>
      <c r="H21" s="11"/>
      <c r="I21" s="11">
        <f>SUM(I17:I20)</f>
        <v>21143567.5</v>
      </c>
      <c r="J21" s="6"/>
      <c r="K21" s="9"/>
    </row>
    <row r="22" spans="1:11">
      <c r="A22" s="4"/>
      <c r="B22" s="362"/>
      <c r="C22" s="6"/>
      <c r="I22" s="11"/>
      <c r="J22" s="6"/>
      <c r="K22" s="9"/>
    </row>
    <row r="23" spans="1:11">
      <c r="A23" s="4" t="s">
        <v>390</v>
      </c>
      <c r="B23" s="362" t="s">
        <v>383</v>
      </c>
      <c r="C23" s="6"/>
      <c r="I23" s="11">
        <f>'2015 Attach O True-Up'!G9</f>
        <v>103526371</v>
      </c>
      <c r="J23" s="6"/>
      <c r="K23" s="9"/>
    </row>
    <row r="24" spans="1:11" ht="16.2" thickBot="1">
      <c r="A24" s="4" t="s">
        <v>391</v>
      </c>
      <c r="B24" s="362" t="s">
        <v>384</v>
      </c>
      <c r="C24" s="6" t="s">
        <v>385</v>
      </c>
      <c r="I24" s="20">
        <f>'2015 Attach O True-Up'!G10</f>
        <v>105656531</v>
      </c>
      <c r="J24" s="6"/>
      <c r="K24" s="9"/>
    </row>
    <row r="25" spans="1:11">
      <c r="A25" s="4" t="s">
        <v>392</v>
      </c>
      <c r="B25" s="362" t="s">
        <v>386</v>
      </c>
      <c r="C25" s="6" t="s">
        <v>387</v>
      </c>
      <c r="I25" s="11">
        <f>I23-I24</f>
        <v>-2130160</v>
      </c>
      <c r="J25" s="6"/>
      <c r="K25" s="9"/>
    </row>
    <row r="26" spans="1:11">
      <c r="A26" s="4" t="s">
        <v>393</v>
      </c>
      <c r="B26" s="362" t="s">
        <v>388</v>
      </c>
      <c r="C26" s="6" t="s">
        <v>508</v>
      </c>
      <c r="I26" s="11">
        <f>D374</f>
        <v>5546893.0204166751</v>
      </c>
      <c r="J26" s="6"/>
      <c r="K26" s="9"/>
    </row>
    <row r="27" spans="1:11" ht="16.2" thickBot="1">
      <c r="A27" s="4" t="s">
        <v>394</v>
      </c>
      <c r="B27" s="362" t="s">
        <v>389</v>
      </c>
      <c r="C27" s="6"/>
      <c r="I27" s="20">
        <f>'2015 Attach O True-Up'!G33</f>
        <v>19801.046821636872</v>
      </c>
      <c r="J27" s="6"/>
      <c r="K27" s="9"/>
    </row>
    <row r="28" spans="1:11">
      <c r="A28" s="4"/>
      <c r="B28" s="362"/>
      <c r="C28" s="6"/>
      <c r="I28" s="11"/>
      <c r="J28" s="6"/>
      <c r="K28" s="9"/>
    </row>
    <row r="29" spans="1:11">
      <c r="A29" s="4" t="s">
        <v>365</v>
      </c>
      <c r="B29" s="362" t="s">
        <v>13</v>
      </c>
      <c r="C29" s="6" t="s">
        <v>489</v>
      </c>
      <c r="D29" s="21"/>
      <c r="E29" s="11"/>
      <c r="F29" s="11"/>
      <c r="G29" s="11"/>
      <c r="H29" s="11"/>
      <c r="I29" s="165">
        <f>+I14-I21+I25+I26+I27</f>
        <v>107183252.2247224</v>
      </c>
      <c r="J29" s="6"/>
      <c r="K29" s="9"/>
    </row>
    <row r="30" spans="1:11">
      <c r="A30" s="4" t="s">
        <v>366</v>
      </c>
      <c r="B30" s="362" t="s">
        <v>367</v>
      </c>
      <c r="C30" s="6"/>
      <c r="D30" s="21"/>
      <c r="E30" s="11"/>
      <c r="F30" s="11"/>
      <c r="G30" s="11"/>
      <c r="H30" s="11"/>
      <c r="I30" s="166">
        <v>0</v>
      </c>
      <c r="J30" s="6"/>
      <c r="K30" s="9"/>
    </row>
    <row r="31" spans="1:11">
      <c r="A31" s="4" t="s">
        <v>368</v>
      </c>
      <c r="B31" s="362" t="s">
        <v>369</v>
      </c>
      <c r="C31" s="6"/>
      <c r="D31" s="21"/>
      <c r="E31" s="11"/>
      <c r="F31" s="11"/>
      <c r="G31" s="11"/>
      <c r="H31" s="11"/>
      <c r="I31" s="166">
        <v>0</v>
      </c>
      <c r="J31" s="6"/>
      <c r="K31" s="9"/>
    </row>
    <row r="32" spans="1:11">
      <c r="A32" s="4" t="s">
        <v>370</v>
      </c>
      <c r="B32" s="362" t="s">
        <v>371</v>
      </c>
      <c r="C32" s="6"/>
      <c r="D32" s="21"/>
      <c r="E32" s="11"/>
      <c r="F32" s="11"/>
      <c r="G32" s="11"/>
      <c r="H32" s="11"/>
      <c r="I32" s="166">
        <v>0</v>
      </c>
      <c r="J32" s="6"/>
      <c r="K32" s="9"/>
    </row>
    <row r="33" spans="1:11">
      <c r="A33" s="4" t="s">
        <v>372</v>
      </c>
      <c r="B33" s="362" t="s">
        <v>373</v>
      </c>
      <c r="C33" s="6"/>
      <c r="D33" s="21"/>
      <c r="E33" s="11"/>
      <c r="F33" s="11"/>
      <c r="G33" s="11"/>
      <c r="H33" s="11"/>
      <c r="I33" s="166">
        <v>0</v>
      </c>
      <c r="J33" s="6"/>
      <c r="K33" s="9"/>
    </row>
    <row r="34" spans="1:11" ht="16.2" thickBot="1">
      <c r="A34" s="4" t="s">
        <v>374</v>
      </c>
      <c r="B34" s="362" t="s">
        <v>375</v>
      </c>
      <c r="C34" s="6"/>
      <c r="D34" s="21"/>
      <c r="E34" s="11"/>
      <c r="F34" s="11"/>
      <c r="G34" s="11"/>
      <c r="H34" s="11"/>
      <c r="I34" s="167">
        <v>0</v>
      </c>
      <c r="J34" s="6"/>
      <c r="K34" s="9"/>
    </row>
    <row r="35" spans="1:11">
      <c r="A35" s="4">
        <v>7</v>
      </c>
      <c r="B35" s="362" t="s">
        <v>376</v>
      </c>
      <c r="C35" s="6" t="s">
        <v>377</v>
      </c>
      <c r="D35" s="21"/>
      <c r="E35" s="11"/>
      <c r="F35" s="11"/>
      <c r="G35" s="11"/>
      <c r="H35" s="11"/>
      <c r="I35" s="165">
        <f>SUM(I29:I34)</f>
        <v>107183252.2247224</v>
      </c>
      <c r="J35" s="6"/>
      <c r="K35" s="9"/>
    </row>
    <row r="36" spans="1:11">
      <c r="A36" s="4"/>
      <c r="B36" s="362"/>
      <c r="C36" s="6"/>
      <c r="D36" s="21"/>
      <c r="E36" s="11"/>
      <c r="F36" s="11"/>
      <c r="G36" s="11"/>
      <c r="H36" s="11"/>
      <c r="I36" s="165"/>
      <c r="J36" s="6"/>
      <c r="K36" s="9"/>
    </row>
    <row r="37" spans="1:11">
      <c r="A37" s="4"/>
      <c r="C37" s="6"/>
      <c r="D37" s="21"/>
      <c r="E37" s="11"/>
      <c r="F37" s="11"/>
      <c r="G37" s="11"/>
      <c r="H37" s="11"/>
      <c r="J37" s="6"/>
      <c r="K37" s="9"/>
    </row>
    <row r="38" spans="1:11">
      <c r="A38" s="4"/>
      <c r="B38" s="362" t="s">
        <v>14</v>
      </c>
      <c r="C38" s="6"/>
      <c r="D38" s="14"/>
      <c r="E38" s="6"/>
      <c r="F38" s="6"/>
      <c r="G38" s="6"/>
      <c r="H38" s="6"/>
      <c r="I38" s="14"/>
      <c r="J38" s="6"/>
      <c r="K38" s="9"/>
    </row>
    <row r="39" spans="1:11">
      <c r="A39" s="4">
        <v>8</v>
      </c>
      <c r="B39" s="362" t="s">
        <v>15</v>
      </c>
      <c r="D39" s="14"/>
      <c r="E39" s="6"/>
      <c r="F39" s="6"/>
      <c r="G39" s="22" t="s">
        <v>16</v>
      </c>
      <c r="H39" s="6"/>
      <c r="I39" s="23">
        <f>Divisor!C24</f>
        <v>3896750</v>
      </c>
      <c r="J39" s="6"/>
      <c r="K39" s="9"/>
    </row>
    <row r="40" spans="1:11">
      <c r="A40" s="4">
        <v>9</v>
      </c>
      <c r="B40" s="362" t="s">
        <v>154</v>
      </c>
      <c r="C40" s="11"/>
      <c r="D40" s="11"/>
      <c r="E40" s="11"/>
      <c r="F40" s="11"/>
      <c r="G40" s="15" t="s">
        <v>17</v>
      </c>
      <c r="H40" s="11"/>
      <c r="I40" s="23">
        <v>0</v>
      </c>
      <c r="J40" s="6"/>
      <c r="K40" s="9"/>
    </row>
    <row r="41" spans="1:11">
      <c r="A41" s="4">
        <v>10</v>
      </c>
      <c r="B41" s="18" t="s">
        <v>155</v>
      </c>
      <c r="C41" s="6"/>
      <c r="D41" s="6"/>
      <c r="E41" s="6"/>
      <c r="G41" s="22" t="s">
        <v>18</v>
      </c>
      <c r="H41" s="6"/>
      <c r="I41" s="23">
        <f>Divisor!E24</f>
        <v>87453.416666666672</v>
      </c>
      <c r="J41" s="6"/>
      <c r="K41" s="9"/>
    </row>
    <row r="42" spans="1:11">
      <c r="A42" s="4">
        <v>11</v>
      </c>
      <c r="B42" s="362" t="s">
        <v>144</v>
      </c>
      <c r="C42" s="6"/>
      <c r="D42" s="6"/>
      <c r="E42" s="6"/>
      <c r="G42" s="22" t="s">
        <v>19</v>
      </c>
      <c r="H42" s="6"/>
      <c r="I42" s="24">
        <v>0</v>
      </c>
      <c r="J42" s="6"/>
      <c r="K42" s="9"/>
    </row>
    <row r="43" spans="1:11">
      <c r="A43" s="4">
        <v>12</v>
      </c>
      <c r="B43" s="18" t="s">
        <v>138</v>
      </c>
      <c r="C43" s="6"/>
      <c r="D43" s="6"/>
      <c r="E43" s="6"/>
      <c r="F43" s="6"/>
      <c r="G43" s="3"/>
      <c r="H43" s="6"/>
      <c r="I43" s="24">
        <v>0</v>
      </c>
      <c r="J43" s="6"/>
      <c r="K43" s="9"/>
    </row>
    <row r="44" spans="1:11">
      <c r="A44" s="4">
        <v>13</v>
      </c>
      <c r="B44" s="18" t="s">
        <v>236</v>
      </c>
      <c r="C44" s="6"/>
      <c r="D44" s="6"/>
      <c r="E44" s="6"/>
      <c r="F44" s="6"/>
      <c r="G44" s="22"/>
      <c r="H44" s="6"/>
      <c r="I44" s="24">
        <v>0</v>
      </c>
      <c r="J44" s="6"/>
      <c r="K44" s="9"/>
    </row>
    <row r="45" spans="1:11" ht="16.2" thickBot="1">
      <c r="A45" s="4">
        <v>14</v>
      </c>
      <c r="B45" s="18" t="s">
        <v>172</v>
      </c>
      <c r="C45" s="6"/>
      <c r="D45" s="6"/>
      <c r="E45" s="6"/>
      <c r="F45" s="6"/>
      <c r="G45" s="3"/>
      <c r="H45" s="6"/>
      <c r="I45" s="25">
        <v>0</v>
      </c>
      <c r="J45" s="6"/>
      <c r="K45" s="9"/>
    </row>
    <row r="46" spans="1:11">
      <c r="A46" s="4">
        <v>15</v>
      </c>
      <c r="B46" s="367" t="s">
        <v>145</v>
      </c>
      <c r="C46" s="6"/>
      <c r="D46" s="6"/>
      <c r="E46" s="6"/>
      <c r="F46" s="6"/>
      <c r="G46" s="6"/>
      <c r="H46" s="6"/>
      <c r="I46" s="14">
        <f>SUM(I39:I45)</f>
        <v>3984203.4166666665</v>
      </c>
      <c r="J46" s="6"/>
      <c r="K46" s="9"/>
    </row>
    <row r="47" spans="1:11">
      <c r="A47" s="4"/>
      <c r="B47" s="362"/>
      <c r="C47" s="6"/>
      <c r="D47" s="6"/>
      <c r="E47" s="6"/>
      <c r="F47" s="6"/>
      <c r="G47" s="6"/>
      <c r="H47" s="6"/>
      <c r="I47" s="14"/>
      <c r="J47" s="6"/>
      <c r="K47" s="9"/>
    </row>
    <row r="48" spans="1:11">
      <c r="A48" s="4">
        <v>16</v>
      </c>
      <c r="B48" s="362" t="s">
        <v>20</v>
      </c>
      <c r="C48" s="6" t="s">
        <v>146</v>
      </c>
      <c r="D48" s="26">
        <f>IF(I46&gt;0,I35/I46,0)</f>
        <v>26.902053187433868</v>
      </c>
      <c r="E48" s="6"/>
      <c r="F48" s="6"/>
      <c r="G48" s="6"/>
      <c r="H48" s="6"/>
      <c r="J48" s="6"/>
      <c r="K48" s="9"/>
    </row>
    <row r="49" spans="1:11">
      <c r="A49" s="4">
        <v>17</v>
      </c>
      <c r="B49" s="362" t="s">
        <v>140</v>
      </c>
      <c r="C49" s="6" t="s">
        <v>147</v>
      </c>
      <c r="D49" s="26">
        <f>+D48/12</f>
        <v>2.241837765619489</v>
      </c>
      <c r="E49" s="6"/>
      <c r="F49" s="6"/>
      <c r="G49" s="6"/>
      <c r="H49" s="6"/>
      <c r="J49" s="6"/>
      <c r="K49" s="9"/>
    </row>
    <row r="50" spans="1:11">
      <c r="A50" s="4"/>
      <c r="B50" s="362"/>
      <c r="C50" s="6"/>
      <c r="D50" s="26"/>
      <c r="E50" s="6"/>
      <c r="F50" s="6"/>
      <c r="G50" s="6"/>
      <c r="H50" s="6"/>
      <c r="J50" s="6"/>
      <c r="K50" s="9"/>
    </row>
    <row r="51" spans="1:11">
      <c r="A51" s="4"/>
      <c r="B51" s="362"/>
      <c r="C51" s="6"/>
      <c r="D51" s="27" t="s">
        <v>21</v>
      </c>
      <c r="E51" s="6"/>
      <c r="F51" s="6"/>
      <c r="G51" s="6"/>
      <c r="H51" s="6"/>
      <c r="I51" s="28" t="s">
        <v>22</v>
      </c>
      <c r="J51" s="6"/>
      <c r="K51" s="9"/>
    </row>
    <row r="52" spans="1:11">
      <c r="A52" s="4">
        <v>18</v>
      </c>
      <c r="B52" s="362" t="s">
        <v>23</v>
      </c>
      <c r="C52" s="29" t="s">
        <v>148</v>
      </c>
      <c r="D52" s="26">
        <f>+D48/52</f>
        <v>0.5173471766814205</v>
      </c>
      <c r="E52" s="6"/>
      <c r="F52" s="6"/>
      <c r="G52" s="6"/>
      <c r="H52" s="6"/>
      <c r="I52" s="30">
        <f>+D48/52</f>
        <v>0.5173471766814205</v>
      </c>
      <c r="J52" s="6"/>
      <c r="K52" s="9"/>
    </row>
    <row r="53" spans="1:11">
      <c r="A53" s="4">
        <v>19</v>
      </c>
      <c r="B53" s="362" t="s">
        <v>24</v>
      </c>
      <c r="C53" s="129" t="s">
        <v>270</v>
      </c>
      <c r="D53" s="26">
        <f>+D48/260</f>
        <v>0.10346943533628411</v>
      </c>
      <c r="E53" s="6" t="s">
        <v>25</v>
      </c>
      <c r="G53" s="6"/>
      <c r="H53" s="6"/>
      <c r="I53" s="30">
        <f>+D48/365</f>
        <v>7.3704255308037994E-2</v>
      </c>
      <c r="J53" s="6"/>
      <c r="K53" s="9"/>
    </row>
    <row r="54" spans="1:11">
      <c r="A54" s="4">
        <v>20</v>
      </c>
      <c r="B54" s="362" t="s">
        <v>26</v>
      </c>
      <c r="C54" s="129" t="s">
        <v>271</v>
      </c>
      <c r="D54" s="26">
        <f>+D48/4160*1000</f>
        <v>6.4668397085177567</v>
      </c>
      <c r="E54" s="6" t="s">
        <v>27</v>
      </c>
      <c r="G54" s="6"/>
      <c r="H54" s="6"/>
      <c r="I54" s="130">
        <f>+D48/8760*1000</f>
        <v>3.0710106378349162</v>
      </c>
      <c r="J54" s="6"/>
      <c r="K54" s="9" t="s">
        <v>2</v>
      </c>
    </row>
    <row r="55" spans="1:11">
      <c r="A55" s="4"/>
      <c r="B55" s="362"/>
      <c r="C55" s="6" t="s">
        <v>28</v>
      </c>
      <c r="D55" s="6"/>
      <c r="E55" s="6" t="s">
        <v>29</v>
      </c>
      <c r="G55" s="6"/>
      <c r="H55" s="6"/>
      <c r="J55" s="6"/>
      <c r="K55" s="9" t="s">
        <v>2</v>
      </c>
    </row>
    <row r="56" spans="1:11">
      <c r="A56" s="4"/>
      <c r="B56" s="362"/>
      <c r="C56" s="6"/>
      <c r="D56" s="6"/>
      <c r="E56" s="6"/>
      <c r="G56" s="6"/>
      <c r="H56" s="6"/>
      <c r="J56" s="6"/>
      <c r="K56" s="9" t="s">
        <v>2</v>
      </c>
    </row>
    <row r="57" spans="1:11">
      <c r="A57" s="4">
        <v>21</v>
      </c>
      <c r="B57" s="362" t="s">
        <v>229</v>
      </c>
      <c r="C57" s="6" t="s">
        <v>227</v>
      </c>
      <c r="D57" s="31">
        <v>0</v>
      </c>
      <c r="E57" s="32" t="s">
        <v>30</v>
      </c>
      <c r="F57" s="32"/>
      <c r="G57" s="32"/>
      <c r="H57" s="32"/>
      <c r="I57" s="32">
        <f>D57</f>
        <v>0</v>
      </c>
      <c r="J57" s="32" t="s">
        <v>30</v>
      </c>
      <c r="K57" s="9"/>
    </row>
    <row r="58" spans="1:11">
      <c r="A58" s="4">
        <v>22</v>
      </c>
      <c r="B58" s="362"/>
      <c r="C58" s="6"/>
      <c r="D58" s="31">
        <v>0</v>
      </c>
      <c r="E58" s="32" t="s">
        <v>31</v>
      </c>
      <c r="F58" s="32"/>
      <c r="G58" s="32"/>
      <c r="H58" s="32"/>
      <c r="I58" s="32">
        <f>D58</f>
        <v>0</v>
      </c>
      <c r="J58" s="32" t="s">
        <v>31</v>
      </c>
      <c r="K58" s="9"/>
    </row>
    <row r="59" spans="1:11" s="7" customFormat="1">
      <c r="A59" s="108"/>
      <c r="B59" s="364"/>
      <c r="C59" s="9"/>
      <c r="D59" s="109"/>
      <c r="E59" s="109"/>
      <c r="F59" s="109"/>
      <c r="G59" s="109"/>
      <c r="H59" s="109"/>
      <c r="I59" s="109"/>
      <c r="J59" s="109"/>
      <c r="K59" s="9"/>
    </row>
    <row r="60" spans="1:11" s="7" customFormat="1">
      <c r="A60" s="108"/>
      <c r="B60" s="364"/>
      <c r="C60" s="9"/>
      <c r="D60" s="109"/>
      <c r="E60" s="109"/>
      <c r="F60" s="109"/>
      <c r="G60" s="109"/>
      <c r="H60" s="109"/>
      <c r="I60" s="109"/>
      <c r="J60" s="109"/>
      <c r="K60" s="9"/>
    </row>
    <row r="61" spans="1:11" s="7" customFormat="1">
      <c r="A61" s="108"/>
      <c r="B61" s="364"/>
      <c r="C61" s="9"/>
      <c r="D61" s="109"/>
      <c r="E61" s="109"/>
      <c r="F61" s="109"/>
      <c r="G61" s="109"/>
      <c r="H61" s="109"/>
      <c r="I61" s="109"/>
      <c r="J61" s="109"/>
      <c r="K61" s="9"/>
    </row>
    <row r="62" spans="1:11" s="7" customFormat="1">
      <c r="A62" s="108"/>
      <c r="B62" s="364"/>
      <c r="C62" s="9"/>
      <c r="D62" s="109"/>
      <c r="E62" s="109"/>
      <c r="F62" s="109"/>
      <c r="G62" s="109"/>
      <c r="H62" s="109"/>
      <c r="I62" s="109"/>
      <c r="J62" s="109"/>
      <c r="K62" s="9"/>
    </row>
    <row r="63" spans="1:11" s="7" customFormat="1">
      <c r="A63" s="108"/>
      <c r="B63" s="364"/>
      <c r="C63" s="9"/>
      <c r="D63" s="109"/>
      <c r="E63" s="109"/>
      <c r="F63" s="109"/>
      <c r="G63" s="109"/>
      <c r="H63" s="109"/>
      <c r="I63" s="109"/>
      <c r="J63" s="109"/>
      <c r="K63" s="9"/>
    </row>
    <row r="64" spans="1:11" s="7" customFormat="1">
      <c r="A64" s="108"/>
      <c r="B64" s="364"/>
      <c r="C64" s="9"/>
      <c r="D64" s="109"/>
      <c r="E64" s="109"/>
      <c r="F64" s="109"/>
      <c r="G64" s="109"/>
      <c r="H64" s="109"/>
      <c r="I64" s="109"/>
      <c r="J64" s="109"/>
      <c r="K64" s="9"/>
    </row>
    <row r="65" spans="1:11" s="7" customFormat="1">
      <c r="A65" s="108"/>
      <c r="B65" s="364"/>
      <c r="C65" s="9"/>
      <c r="D65" s="109"/>
      <c r="E65" s="109"/>
      <c r="F65" s="109"/>
      <c r="G65" s="109"/>
      <c r="H65" s="109"/>
      <c r="I65" s="109"/>
      <c r="J65" s="109"/>
      <c r="K65" s="9"/>
    </row>
    <row r="66" spans="1:11" s="7" customFormat="1">
      <c r="A66" s="108"/>
      <c r="B66" s="364"/>
      <c r="C66" s="9"/>
      <c r="D66" s="109"/>
      <c r="E66" s="109"/>
      <c r="F66" s="109"/>
      <c r="G66" s="109"/>
      <c r="H66" s="109"/>
      <c r="I66" s="109"/>
      <c r="J66" s="109"/>
      <c r="K66" s="9"/>
    </row>
    <row r="67" spans="1:11" s="7" customFormat="1">
      <c r="A67" s="108"/>
      <c r="B67" s="364"/>
      <c r="C67" s="9"/>
      <c r="D67" s="109"/>
      <c r="E67" s="109"/>
      <c r="F67" s="109"/>
      <c r="G67" s="109"/>
      <c r="H67" s="109"/>
      <c r="I67" s="109"/>
      <c r="J67" s="109"/>
      <c r="K67" s="9"/>
    </row>
    <row r="68" spans="1:11" s="7" customFormat="1">
      <c r="A68" s="108"/>
      <c r="B68" s="364"/>
      <c r="C68" s="9"/>
      <c r="D68" s="109"/>
      <c r="E68" s="109"/>
      <c r="F68" s="109"/>
      <c r="G68" s="109"/>
      <c r="H68" s="109"/>
      <c r="I68" s="109"/>
      <c r="J68" s="109"/>
      <c r="K68" s="9"/>
    </row>
    <row r="69" spans="1:11" s="7" customFormat="1">
      <c r="A69" s="108"/>
      <c r="B69" s="364"/>
      <c r="C69" s="9"/>
      <c r="D69" s="109"/>
      <c r="E69" s="109"/>
      <c r="F69" s="109"/>
      <c r="G69" s="109"/>
      <c r="H69" s="109"/>
      <c r="I69" s="109"/>
      <c r="J69" s="109"/>
      <c r="K69" s="9"/>
    </row>
    <row r="70" spans="1:11" s="7" customFormat="1">
      <c r="A70" s="108"/>
      <c r="B70" s="364"/>
      <c r="C70" s="9"/>
      <c r="D70" s="109"/>
      <c r="E70" s="109"/>
      <c r="F70" s="109"/>
      <c r="G70" s="109"/>
      <c r="H70" s="109"/>
      <c r="I70" s="109"/>
      <c r="J70" s="109"/>
      <c r="K70" s="9"/>
    </row>
    <row r="71" spans="1:11" s="7" customFormat="1">
      <c r="A71" s="108"/>
      <c r="B71" s="364"/>
      <c r="C71" s="9"/>
      <c r="D71" s="109"/>
      <c r="E71" s="109"/>
      <c r="F71" s="109"/>
      <c r="G71" s="109"/>
      <c r="H71" s="109"/>
      <c r="I71" s="109"/>
      <c r="J71" s="109"/>
      <c r="K71" s="9"/>
    </row>
    <row r="72" spans="1:11" s="7" customFormat="1">
      <c r="A72" s="108"/>
      <c r="B72" s="364"/>
      <c r="C72" s="9"/>
      <c r="D72" s="109"/>
      <c r="E72" s="109"/>
      <c r="F72" s="109"/>
      <c r="G72" s="109"/>
      <c r="H72" s="109"/>
      <c r="I72" s="109"/>
      <c r="J72" s="109"/>
      <c r="K72" s="9"/>
    </row>
    <row r="73" spans="1:11">
      <c r="A73" s="434"/>
      <c r="B73" s="434"/>
      <c r="C73" s="434"/>
      <c r="D73" s="49"/>
      <c r="E73" s="11"/>
      <c r="F73" s="11"/>
      <c r="G73" s="435"/>
      <c r="H73" s="435"/>
      <c r="I73" s="435"/>
      <c r="J73" s="435"/>
      <c r="K73" s="435"/>
    </row>
    <row r="74" spans="1:11">
      <c r="A74" s="434"/>
      <c r="B74" s="434"/>
      <c r="C74" s="434"/>
      <c r="D74" s="49"/>
      <c r="E74" s="11"/>
      <c r="F74" s="11"/>
      <c r="G74" s="363"/>
      <c r="H74" s="363"/>
      <c r="I74" s="363"/>
      <c r="J74" s="363"/>
      <c r="K74" s="363"/>
    </row>
    <row r="75" spans="1:11">
      <c r="B75" s="367"/>
      <c r="C75" s="367"/>
      <c r="D75" s="2"/>
      <c r="E75" s="367"/>
      <c r="F75" s="367"/>
      <c r="G75" s="447" t="s">
        <v>723</v>
      </c>
      <c r="H75" s="447"/>
      <c r="I75" s="447"/>
      <c r="J75" s="447"/>
      <c r="K75" s="447"/>
    </row>
    <row r="76" spans="1:11">
      <c r="B76" s="367"/>
      <c r="C76" s="367"/>
      <c r="D76" s="2"/>
      <c r="E76" s="367"/>
      <c r="F76" s="367"/>
      <c r="G76" s="436"/>
      <c r="H76" s="436"/>
      <c r="I76" s="436"/>
      <c r="J76" s="436"/>
      <c r="K76" s="436"/>
    </row>
    <row r="77" spans="1:11">
      <c r="B77" s="367"/>
      <c r="C77" s="367"/>
      <c r="D77" s="2"/>
      <c r="E77" s="367"/>
      <c r="F77" s="367"/>
      <c r="G77" s="367"/>
      <c r="H77" s="3"/>
      <c r="I77" s="448" t="s">
        <v>608</v>
      </c>
      <c r="J77" s="448"/>
      <c r="K77" s="448"/>
    </row>
    <row r="78" spans="1:11">
      <c r="B78" s="367"/>
      <c r="C78" s="367"/>
      <c r="D78" s="2"/>
      <c r="E78" s="367"/>
      <c r="F78" s="367"/>
      <c r="G78" s="367"/>
      <c r="H78" s="3"/>
      <c r="I78" s="3"/>
      <c r="J78" s="449" t="s">
        <v>460</v>
      </c>
      <c r="K78" s="449"/>
    </row>
    <row r="79" spans="1:11">
      <c r="B79" s="367"/>
      <c r="C79" s="367"/>
      <c r="D79" s="2"/>
      <c r="E79" s="367"/>
      <c r="F79" s="367"/>
      <c r="G79" s="367"/>
      <c r="H79" s="3"/>
      <c r="I79" s="3"/>
      <c r="J79" s="6"/>
      <c r="K79" s="361"/>
    </row>
    <row r="80" spans="1:11">
      <c r="B80" s="367" t="s">
        <v>0</v>
      </c>
      <c r="C80" s="367"/>
      <c r="D80" s="2" t="s">
        <v>261</v>
      </c>
      <c r="E80" s="367"/>
      <c r="F80" s="367"/>
      <c r="G80" s="367"/>
      <c r="H80" s="3"/>
      <c r="I80" s="3"/>
      <c r="J80" s="6"/>
      <c r="K80" s="361" t="str">
        <f>K7</f>
        <v>Estimated - For the 12 months ended 12/31/17</v>
      </c>
    </row>
    <row r="81" spans="1:15">
      <c r="B81" s="367"/>
      <c r="C81" s="11" t="s">
        <v>2</v>
      </c>
      <c r="D81" s="11" t="s">
        <v>262</v>
      </c>
      <c r="E81" s="11"/>
      <c r="F81" s="11"/>
      <c r="G81" s="11"/>
      <c r="H81" s="3"/>
      <c r="I81" s="3"/>
      <c r="J81" s="6"/>
      <c r="K81" s="9"/>
    </row>
    <row r="82" spans="1:15">
      <c r="B82" s="367"/>
      <c r="C82" s="11"/>
      <c r="D82" s="11"/>
      <c r="E82" s="11"/>
      <c r="F82" s="11"/>
      <c r="G82" s="11"/>
      <c r="H82" s="3"/>
      <c r="I82" s="3"/>
      <c r="J82" s="6"/>
      <c r="K82" s="9"/>
    </row>
    <row r="83" spans="1:15">
      <c r="B83" s="362"/>
      <c r="C83" s="6"/>
      <c r="D83" s="11" t="str">
        <f>D10</f>
        <v>MidAmerican Energy Company</v>
      </c>
      <c r="E83" s="11"/>
      <c r="F83" s="11"/>
      <c r="G83" s="11"/>
      <c r="H83" s="11"/>
      <c r="I83" s="11"/>
      <c r="J83" s="11"/>
      <c r="K83" s="15"/>
    </row>
    <row r="84" spans="1:15">
      <c r="B84" s="33" t="s">
        <v>32</v>
      </c>
      <c r="C84" s="33" t="s">
        <v>33</v>
      </c>
      <c r="D84" s="33" t="s">
        <v>34</v>
      </c>
      <c r="E84" s="11" t="s">
        <v>2</v>
      </c>
      <c r="F84" s="11"/>
      <c r="G84" s="34" t="s">
        <v>35</v>
      </c>
      <c r="H84" s="11"/>
      <c r="I84" s="35" t="s">
        <v>36</v>
      </c>
      <c r="J84" s="11"/>
      <c r="K84" s="8"/>
    </row>
    <row r="85" spans="1:15">
      <c r="B85" s="362"/>
      <c r="C85" s="36" t="s">
        <v>37</v>
      </c>
      <c r="D85" s="11"/>
      <c r="E85" s="11"/>
      <c r="F85" s="11"/>
      <c r="G85" s="4"/>
      <c r="H85" s="11"/>
      <c r="I85" s="37" t="s">
        <v>38</v>
      </c>
      <c r="J85" s="11"/>
      <c r="K85" s="8"/>
    </row>
    <row r="86" spans="1:15">
      <c r="A86" s="4" t="s">
        <v>4</v>
      </c>
      <c r="B86" s="362"/>
      <c r="C86" s="38" t="s">
        <v>39</v>
      </c>
      <c r="D86" s="37" t="s">
        <v>40</v>
      </c>
      <c r="E86" s="39"/>
      <c r="F86" s="37" t="s">
        <v>41</v>
      </c>
      <c r="H86" s="39"/>
      <c r="I86" s="4" t="s">
        <v>42</v>
      </c>
      <c r="J86" s="11"/>
      <c r="K86" s="8"/>
    </row>
    <row r="87" spans="1:15" ht="16.2" thickBot="1">
      <c r="A87" s="13" t="s">
        <v>6</v>
      </c>
      <c r="B87" s="40" t="s">
        <v>43</v>
      </c>
      <c r="C87" s="11"/>
      <c r="D87" s="11"/>
      <c r="E87" s="11"/>
      <c r="F87" s="11"/>
      <c r="G87" s="11"/>
      <c r="H87" s="11"/>
      <c r="I87" s="11"/>
      <c r="J87" s="11"/>
      <c r="K87" s="15"/>
    </row>
    <row r="88" spans="1:15">
      <c r="A88" s="4"/>
      <c r="B88" s="362" t="s">
        <v>509</v>
      </c>
      <c r="C88" s="11"/>
      <c r="D88" s="11"/>
      <c r="E88" s="11"/>
      <c r="F88" s="11"/>
      <c r="G88" s="11"/>
      <c r="H88" s="11"/>
      <c r="I88" s="11"/>
      <c r="J88" s="11"/>
      <c r="K88" s="15"/>
    </row>
    <row r="89" spans="1:15">
      <c r="A89" s="4">
        <v>1</v>
      </c>
      <c r="B89" s="362" t="s">
        <v>44</v>
      </c>
      <c r="C89" s="15" t="s">
        <v>208</v>
      </c>
      <c r="D89" s="19">
        <f>'Plant Balance'!D23-'Plant Balance - ARO'!D23</f>
        <v>11003186779.461538</v>
      </c>
      <c r="E89" s="11"/>
      <c r="F89" s="11" t="s">
        <v>45</v>
      </c>
      <c r="G89" s="41" t="s">
        <v>2</v>
      </c>
      <c r="H89" s="11"/>
      <c r="I89" s="11" t="s">
        <v>2</v>
      </c>
      <c r="J89" s="11"/>
      <c r="K89" s="15"/>
    </row>
    <row r="90" spans="1:15">
      <c r="A90" s="4">
        <v>2</v>
      </c>
      <c r="B90" s="362" t="s">
        <v>46</v>
      </c>
      <c r="C90" s="15" t="s">
        <v>201</v>
      </c>
      <c r="D90" s="19">
        <f>'Plant Balance'!E23-'Plant Balance - ARO'!E23</f>
        <v>1758082964.3961537</v>
      </c>
      <c r="E90" s="11"/>
      <c r="F90" s="11" t="s">
        <v>11</v>
      </c>
      <c r="G90" s="41">
        <f>I238</f>
        <v>1</v>
      </c>
      <c r="H90" s="11"/>
      <c r="I90" s="11">
        <f>+G90*D90</f>
        <v>1758082964.3961537</v>
      </c>
      <c r="J90" s="11"/>
      <c r="K90" s="15"/>
      <c r="M90" s="7"/>
      <c r="N90" s="7"/>
      <c r="O90" s="7"/>
    </row>
    <row r="91" spans="1:15">
      <c r="A91" s="4">
        <v>3</v>
      </c>
      <c r="B91" s="362" t="s">
        <v>47</v>
      </c>
      <c r="C91" s="15" t="s">
        <v>202</v>
      </c>
      <c r="D91" s="19">
        <f>'Plant Balance'!F23</f>
        <v>3298088999.5384617</v>
      </c>
      <c r="E91" s="11"/>
      <c r="F91" s="11" t="s">
        <v>45</v>
      </c>
      <c r="G91" s="41" t="s">
        <v>2</v>
      </c>
      <c r="H91" s="11"/>
      <c r="I91" s="11" t="s">
        <v>2</v>
      </c>
      <c r="J91" s="11"/>
      <c r="K91" s="15"/>
    </row>
    <row r="92" spans="1:15">
      <c r="A92" s="4">
        <v>4</v>
      </c>
      <c r="B92" s="362" t="s">
        <v>48</v>
      </c>
      <c r="C92" s="15" t="s">
        <v>209</v>
      </c>
      <c r="D92" s="19">
        <f>'Plant Balance'!G23</f>
        <v>507590131</v>
      </c>
      <c r="E92" s="11"/>
      <c r="F92" s="11" t="s">
        <v>49</v>
      </c>
      <c r="G92" s="41">
        <f>I255</f>
        <v>6.1877305803369399E-2</v>
      </c>
      <c r="H92" s="11"/>
      <c r="I92" s="11">
        <f>+G92*D92</f>
        <v>31408309.758659333</v>
      </c>
      <c r="J92" s="11"/>
      <c r="K92" s="15"/>
    </row>
    <row r="93" spans="1:15" ht="16.2" thickBot="1">
      <c r="A93" s="4">
        <v>5</v>
      </c>
      <c r="B93" s="362" t="s">
        <v>50</v>
      </c>
      <c r="C93" s="15" t="s">
        <v>51</v>
      </c>
      <c r="D93" s="42">
        <v>0</v>
      </c>
      <c r="E93" s="11"/>
      <c r="F93" s="11" t="s">
        <v>94</v>
      </c>
      <c r="G93" s="41">
        <f>K259</f>
        <v>5.6863946829947012E-2</v>
      </c>
      <c r="H93" s="11"/>
      <c r="I93" s="20">
        <f>+G93*D93</f>
        <v>0</v>
      </c>
      <c r="J93" s="11"/>
      <c r="K93" s="15"/>
    </row>
    <row r="94" spans="1:15">
      <c r="A94" s="4">
        <v>6</v>
      </c>
      <c r="B94" s="367" t="s">
        <v>258</v>
      </c>
      <c r="C94" s="15"/>
      <c r="D94" s="11">
        <f>SUM(D89:D93)</f>
        <v>16566948874.396154</v>
      </c>
      <c r="E94" s="11"/>
      <c r="F94" s="11" t="s">
        <v>52</v>
      </c>
      <c r="G94" s="43">
        <f>IF(I94&gt;0,I94/D94,0)</f>
        <v>0.1080157419282214</v>
      </c>
      <c r="H94" s="11"/>
      <c r="I94" s="11">
        <f>SUM(I89:I93)</f>
        <v>1789491274.1548131</v>
      </c>
      <c r="J94" s="11"/>
      <c r="K94" s="44"/>
    </row>
    <row r="95" spans="1:15">
      <c r="B95" s="362"/>
      <c r="C95" s="15"/>
      <c r="D95" s="11"/>
      <c r="E95" s="11"/>
      <c r="F95" s="11"/>
      <c r="G95" s="43"/>
      <c r="H95" s="11"/>
      <c r="I95" s="11"/>
      <c r="J95" s="11"/>
      <c r="K95" s="44"/>
    </row>
    <row r="96" spans="1:15">
      <c r="B96" s="362" t="s">
        <v>510</v>
      </c>
      <c r="C96" s="15"/>
      <c r="D96" s="11"/>
      <c r="E96" s="11"/>
      <c r="F96" s="11"/>
      <c r="G96" s="11"/>
      <c r="H96" s="11"/>
      <c r="I96" s="11"/>
      <c r="J96" s="11"/>
      <c r="K96" s="15"/>
    </row>
    <row r="97" spans="1:11">
      <c r="A97" s="4">
        <v>7</v>
      </c>
      <c r="B97" s="362" t="str">
        <f>+B89</f>
        <v xml:space="preserve">  Production</v>
      </c>
      <c r="C97" s="15" t="s">
        <v>188</v>
      </c>
      <c r="D97" s="19">
        <f>'Accum Depr'!D23-'Accum Depr - ARO'!D23</f>
        <v>3467344470.6923075</v>
      </c>
      <c r="E97" s="11"/>
      <c r="F97" s="11" t="str">
        <f>+F89</f>
        <v>NA</v>
      </c>
      <c r="G97" s="41" t="str">
        <f>+G89</f>
        <v xml:space="preserve"> </v>
      </c>
      <c r="H97" s="11"/>
      <c r="I97" s="11" t="s">
        <v>2</v>
      </c>
      <c r="J97" s="11"/>
      <c r="K97" s="15"/>
    </row>
    <row r="98" spans="1:11">
      <c r="A98" s="4">
        <v>8</v>
      </c>
      <c r="B98" s="362" t="str">
        <f>+B90</f>
        <v xml:space="preserve">  Transmission</v>
      </c>
      <c r="C98" s="15" t="s">
        <v>189</v>
      </c>
      <c r="D98" s="19">
        <f>'Accum Depr'!E23-'Accum Depr - ARO'!E23</f>
        <v>487813012.1538462</v>
      </c>
      <c r="E98" s="11"/>
      <c r="F98" s="11" t="str">
        <f t="shared" ref="F98:G101" si="1">+F90</f>
        <v>TP</v>
      </c>
      <c r="G98" s="41">
        <f t="shared" si="1"/>
        <v>1</v>
      </c>
      <c r="H98" s="11"/>
      <c r="I98" s="11">
        <f>+G98*D98</f>
        <v>487813012.1538462</v>
      </c>
      <c r="J98" s="11"/>
      <c r="K98" s="15"/>
    </row>
    <row r="99" spans="1:11">
      <c r="A99" s="4">
        <v>9</v>
      </c>
      <c r="B99" s="362" t="str">
        <f>+B91</f>
        <v xml:space="preserve">  Distribution</v>
      </c>
      <c r="C99" s="15" t="s">
        <v>190</v>
      </c>
      <c r="D99" s="19">
        <f>'Accum Depr'!F23</f>
        <v>1432458333.7692308</v>
      </c>
      <c r="E99" s="11"/>
      <c r="F99" s="11" t="str">
        <f t="shared" si="1"/>
        <v>NA</v>
      </c>
      <c r="G99" s="41" t="str">
        <f t="shared" si="1"/>
        <v xml:space="preserve"> </v>
      </c>
      <c r="H99" s="11"/>
      <c r="I99" s="11" t="s">
        <v>2</v>
      </c>
      <c r="J99" s="11"/>
      <c r="K99" s="15"/>
    </row>
    <row r="100" spans="1:11">
      <c r="A100" s="4">
        <v>10</v>
      </c>
      <c r="B100" s="362" t="str">
        <f>+B92</f>
        <v xml:space="preserve">  General &amp; Intangible</v>
      </c>
      <c r="C100" s="15" t="s">
        <v>500</v>
      </c>
      <c r="D100" s="19">
        <f>'Accum Depr'!G23</f>
        <v>301724692</v>
      </c>
      <c r="E100" s="11"/>
      <c r="F100" s="11" t="str">
        <f t="shared" si="1"/>
        <v>W/S</v>
      </c>
      <c r="G100" s="41">
        <f t="shared" si="1"/>
        <v>6.1877305803369399E-2</v>
      </c>
      <c r="H100" s="11"/>
      <c r="I100" s="11">
        <f>+G100*D100</f>
        <v>18669911.035311446</v>
      </c>
      <c r="J100" s="11"/>
      <c r="K100" s="15"/>
    </row>
    <row r="101" spans="1:11" ht="16.2" thickBot="1">
      <c r="A101" s="4">
        <v>11</v>
      </c>
      <c r="B101" s="362" t="str">
        <f>+B93</f>
        <v xml:space="preserve">  Common</v>
      </c>
      <c r="C101" s="15" t="s">
        <v>51</v>
      </c>
      <c r="D101" s="42">
        <v>0</v>
      </c>
      <c r="E101" s="11"/>
      <c r="F101" s="11" t="str">
        <f t="shared" si="1"/>
        <v>CE</v>
      </c>
      <c r="G101" s="41">
        <f t="shared" si="1"/>
        <v>5.6863946829947012E-2</v>
      </c>
      <c r="H101" s="11"/>
      <c r="I101" s="20">
        <f>+G101*D101</f>
        <v>0</v>
      </c>
      <c r="J101" s="11"/>
      <c r="K101" s="15"/>
    </row>
    <row r="102" spans="1:11">
      <c r="A102" s="4">
        <v>12</v>
      </c>
      <c r="B102" s="362" t="s">
        <v>259</v>
      </c>
      <c r="C102" s="11"/>
      <c r="D102" s="11">
        <f>SUM(D97:D101)</f>
        <v>5689340508.6153851</v>
      </c>
      <c r="E102" s="11"/>
      <c r="F102" s="11"/>
      <c r="G102" s="11"/>
      <c r="H102" s="11"/>
      <c r="I102" s="11">
        <f>SUM(I97:I101)</f>
        <v>506482923.18915766</v>
      </c>
      <c r="J102" s="11"/>
      <c r="K102" s="15"/>
    </row>
    <row r="103" spans="1:11">
      <c r="A103" s="4"/>
      <c r="C103" s="11" t="s">
        <v>2</v>
      </c>
      <c r="E103" s="11"/>
      <c r="F103" s="11"/>
      <c r="G103" s="43"/>
      <c r="H103" s="11"/>
      <c r="J103" s="11"/>
      <c r="K103" s="44"/>
    </row>
    <row r="104" spans="1:11">
      <c r="A104" s="4"/>
      <c r="B104" s="362" t="s">
        <v>511</v>
      </c>
      <c r="C104" s="11"/>
      <c r="D104" s="11"/>
      <c r="E104" s="11"/>
      <c r="F104" s="11"/>
      <c r="G104" s="11"/>
      <c r="H104" s="11"/>
      <c r="I104" s="11"/>
      <c r="J104" s="11"/>
      <c r="K104" s="15"/>
    </row>
    <row r="105" spans="1:11">
      <c r="A105" s="4">
        <v>13</v>
      </c>
      <c r="B105" s="362" t="str">
        <f>+B97</f>
        <v xml:space="preserve">  Production</v>
      </c>
      <c r="C105" s="11" t="s">
        <v>230</v>
      </c>
      <c r="D105" s="11">
        <f>D89-D97</f>
        <v>7535842308.7692308</v>
      </c>
      <c r="E105" s="11"/>
      <c r="F105" s="11"/>
      <c r="G105" s="43"/>
      <c r="H105" s="11"/>
      <c r="I105" s="11" t="s">
        <v>2</v>
      </c>
      <c r="J105" s="11"/>
      <c r="K105" s="44"/>
    </row>
    <row r="106" spans="1:11">
      <c r="A106" s="4">
        <v>14</v>
      </c>
      <c r="B106" s="362" t="str">
        <f>+B98</f>
        <v xml:space="preserve">  Transmission</v>
      </c>
      <c r="C106" s="11" t="s">
        <v>231</v>
      </c>
      <c r="D106" s="11">
        <f>D90-D98</f>
        <v>1270269952.2423074</v>
      </c>
      <c r="E106" s="11"/>
      <c r="F106" s="11"/>
      <c r="G106" s="41"/>
      <c r="H106" s="11"/>
      <c r="I106" s="11">
        <f>I90-I98</f>
        <v>1270269952.2423074</v>
      </c>
      <c r="J106" s="11"/>
      <c r="K106" s="44"/>
    </row>
    <row r="107" spans="1:11">
      <c r="A107" s="4">
        <v>15</v>
      </c>
      <c r="B107" s="362" t="str">
        <f>+B99</f>
        <v xml:space="preserve">  Distribution</v>
      </c>
      <c r="C107" s="11" t="s">
        <v>232</v>
      </c>
      <c r="D107" s="11">
        <f>D91-D99</f>
        <v>1865630665.7692308</v>
      </c>
      <c r="E107" s="11"/>
      <c r="F107" s="11"/>
      <c r="G107" s="43"/>
      <c r="H107" s="11"/>
      <c r="I107" s="11" t="s">
        <v>2</v>
      </c>
      <c r="J107" s="11"/>
      <c r="K107" s="44"/>
    </row>
    <row r="108" spans="1:11">
      <c r="A108" s="4">
        <v>16</v>
      </c>
      <c r="B108" s="362" t="str">
        <f>+B100</f>
        <v xml:space="preserve">  General &amp; Intangible</v>
      </c>
      <c r="C108" s="11" t="s">
        <v>233</v>
      </c>
      <c r="D108" s="11">
        <f>D92-D100</f>
        <v>205865439</v>
      </c>
      <c r="E108" s="11"/>
      <c r="F108" s="11"/>
      <c r="G108" s="43"/>
      <c r="H108" s="11"/>
      <c r="I108" s="11">
        <f>I92-I100</f>
        <v>12738398.723347887</v>
      </c>
      <c r="J108" s="11"/>
      <c r="K108" s="44"/>
    </row>
    <row r="109" spans="1:11" ht="16.2" thickBot="1">
      <c r="A109" s="4">
        <v>17</v>
      </c>
      <c r="B109" s="362" t="str">
        <f>+B101</f>
        <v xml:space="preserve">  Common</v>
      </c>
      <c r="C109" s="11" t="s">
        <v>234</v>
      </c>
      <c r="D109" s="20">
        <f>D93-D101</f>
        <v>0</v>
      </c>
      <c r="E109" s="11"/>
      <c r="F109" s="11"/>
      <c r="G109" s="43"/>
      <c r="H109" s="11"/>
      <c r="I109" s="20">
        <f>I93-I101</f>
        <v>0</v>
      </c>
      <c r="J109" s="11"/>
      <c r="K109" s="44"/>
    </row>
    <row r="110" spans="1:11">
      <c r="A110" s="4">
        <v>18</v>
      </c>
      <c r="B110" s="362" t="s">
        <v>257</v>
      </c>
      <c r="C110" s="11"/>
      <c r="D110" s="11">
        <f>SUM(D105:D109)</f>
        <v>10877608365.780769</v>
      </c>
      <c r="E110" s="11"/>
      <c r="F110" s="11" t="s">
        <v>53</v>
      </c>
      <c r="G110" s="43">
        <f>IF(I110&gt;0,I110/D110,0)</f>
        <v>0.11794948924634906</v>
      </c>
      <c r="H110" s="11"/>
      <c r="I110" s="11">
        <f>SUM(I105:I109)</f>
        <v>1283008350.9656553</v>
      </c>
      <c r="J110" s="11"/>
      <c r="K110" s="15"/>
    </row>
    <row r="111" spans="1:11">
      <c r="A111" s="4"/>
      <c r="B111" s="362"/>
      <c r="C111" s="11"/>
      <c r="D111" s="11"/>
      <c r="E111" s="11"/>
      <c r="F111" s="11"/>
      <c r="G111" s="43"/>
      <c r="H111" s="11"/>
      <c r="I111" s="11"/>
      <c r="J111" s="11"/>
      <c r="K111" s="15"/>
    </row>
    <row r="112" spans="1:11">
      <c r="A112" s="4" t="s">
        <v>396</v>
      </c>
      <c r="B112" s="362" t="s">
        <v>512</v>
      </c>
      <c r="C112" s="11" t="s">
        <v>395</v>
      </c>
      <c r="D112" s="236">
        <f>CWIP!G23</f>
        <v>24161453.769230768</v>
      </c>
      <c r="E112" s="11"/>
      <c r="F112" s="11" t="s">
        <v>11</v>
      </c>
      <c r="G112" s="41">
        <f>+G90</f>
        <v>1</v>
      </c>
      <c r="H112" s="11"/>
      <c r="I112" s="11">
        <f>D112*G112</f>
        <v>24161453.769230768</v>
      </c>
      <c r="J112" s="11"/>
      <c r="K112" s="15"/>
    </row>
    <row r="113" spans="1:11">
      <c r="A113" s="4"/>
      <c r="C113" s="11"/>
      <c r="E113" s="11"/>
      <c r="H113" s="11"/>
      <c r="J113" s="11"/>
      <c r="K113" s="44"/>
    </row>
    <row r="114" spans="1:11">
      <c r="A114" s="4"/>
      <c r="B114" s="367" t="s">
        <v>235</v>
      </c>
      <c r="C114" s="11"/>
      <c r="D114" s="11"/>
      <c r="E114" s="11"/>
      <c r="F114" s="11"/>
      <c r="G114" s="11"/>
      <c r="H114" s="11"/>
      <c r="I114" s="11"/>
      <c r="J114" s="11"/>
      <c r="K114" s="15"/>
    </row>
    <row r="115" spans="1:11">
      <c r="A115" s="4">
        <v>19</v>
      </c>
      <c r="B115" s="362" t="s">
        <v>658</v>
      </c>
      <c r="C115" s="11" t="s">
        <v>688</v>
      </c>
      <c r="D115" s="19">
        <f>'ADIT Projection Summary'!M48</f>
        <v>-225796922.16557696</v>
      </c>
      <c r="E115" s="15"/>
      <c r="F115" s="15" t="s">
        <v>11</v>
      </c>
      <c r="G115" s="45">
        <v>1</v>
      </c>
      <c r="H115" s="11"/>
      <c r="I115" s="11">
        <f t="shared" ref="I115:I121" si="2">D115*G115</f>
        <v>-225796922.16557696</v>
      </c>
      <c r="J115" s="11"/>
      <c r="K115" s="44"/>
    </row>
    <row r="116" spans="1:11">
      <c r="A116" s="4">
        <v>20</v>
      </c>
      <c r="B116" s="362" t="s">
        <v>689</v>
      </c>
      <c r="C116" s="11"/>
      <c r="D116" s="19"/>
      <c r="E116" s="11"/>
      <c r="F116" s="11"/>
      <c r="G116" s="41"/>
      <c r="H116" s="11"/>
      <c r="I116" s="11">
        <f t="shared" si="2"/>
        <v>0</v>
      </c>
      <c r="J116" s="11"/>
      <c r="K116" s="44"/>
    </row>
    <row r="117" spans="1:11">
      <c r="A117" s="4">
        <v>21</v>
      </c>
      <c r="B117" s="382" t="s">
        <v>689</v>
      </c>
      <c r="C117" s="11"/>
      <c r="D117" s="46"/>
      <c r="E117" s="11"/>
      <c r="F117" s="11"/>
      <c r="G117" s="41"/>
      <c r="H117" s="11"/>
      <c r="I117" s="11">
        <f t="shared" si="2"/>
        <v>0</v>
      </c>
      <c r="J117" s="11"/>
      <c r="K117" s="44"/>
    </row>
    <row r="118" spans="1:11">
      <c r="A118" s="4">
        <v>22</v>
      </c>
      <c r="B118" s="382" t="s">
        <v>689</v>
      </c>
      <c r="C118" s="11"/>
      <c r="D118" s="46"/>
      <c r="E118" s="11"/>
      <c r="F118" s="11"/>
      <c r="G118" s="41"/>
      <c r="H118" s="11"/>
      <c r="I118" s="11">
        <f t="shared" si="2"/>
        <v>0</v>
      </c>
      <c r="J118" s="11"/>
      <c r="K118" s="44"/>
    </row>
    <row r="119" spans="1:11">
      <c r="A119" s="4">
        <v>23</v>
      </c>
      <c r="B119" s="1" t="s">
        <v>519</v>
      </c>
      <c r="C119" s="1" t="s">
        <v>518</v>
      </c>
      <c r="D119" s="46">
        <v>0</v>
      </c>
      <c r="E119" s="11"/>
      <c r="F119" s="11" t="s">
        <v>54</v>
      </c>
      <c r="G119" s="41">
        <f>+G117</f>
        <v>0</v>
      </c>
      <c r="H119" s="11"/>
      <c r="I119" s="49">
        <f t="shared" si="2"/>
        <v>0</v>
      </c>
      <c r="J119" s="11"/>
      <c r="K119" s="44"/>
    </row>
    <row r="120" spans="1:11">
      <c r="A120" s="4" t="s">
        <v>398</v>
      </c>
      <c r="B120" s="1" t="s">
        <v>418</v>
      </c>
      <c r="C120" s="1" t="s">
        <v>513</v>
      </c>
      <c r="D120" s="46">
        <v>0</v>
      </c>
      <c r="E120" s="11"/>
      <c r="F120" s="11" t="s">
        <v>11</v>
      </c>
      <c r="G120" s="41">
        <f>G90</f>
        <v>1</v>
      </c>
      <c r="H120" s="11"/>
      <c r="I120" s="49">
        <f t="shared" si="2"/>
        <v>0</v>
      </c>
      <c r="J120" s="11"/>
      <c r="K120" s="44"/>
    </row>
    <row r="121" spans="1:11" ht="16.2" thickBot="1">
      <c r="A121" s="4" t="s">
        <v>399</v>
      </c>
      <c r="B121" s="1" t="s">
        <v>397</v>
      </c>
      <c r="C121" s="1" t="s">
        <v>513</v>
      </c>
      <c r="D121" s="42">
        <v>0</v>
      </c>
      <c r="E121" s="11"/>
      <c r="F121" s="11" t="s">
        <v>11</v>
      </c>
      <c r="G121" s="41">
        <f>G90</f>
        <v>1</v>
      </c>
      <c r="H121" s="11"/>
      <c r="I121" s="20">
        <f t="shared" si="2"/>
        <v>0</v>
      </c>
      <c r="J121" s="11"/>
      <c r="K121" s="44"/>
    </row>
    <row r="122" spans="1:11">
      <c r="A122" s="4">
        <v>24</v>
      </c>
      <c r="B122" s="362" t="s">
        <v>527</v>
      </c>
      <c r="C122" s="11"/>
      <c r="D122" s="11">
        <f>SUM(D115:D121)</f>
        <v>-225796922.16557696</v>
      </c>
      <c r="E122" s="11"/>
      <c r="F122" s="11"/>
      <c r="G122" s="11"/>
      <c r="H122" s="11"/>
      <c r="I122" s="11">
        <f>SUM(I115:I121)</f>
        <v>-225796922.16557696</v>
      </c>
      <c r="J122" s="11"/>
      <c r="K122" s="15"/>
    </row>
    <row r="123" spans="1:11">
      <c r="A123" s="4"/>
      <c r="C123" s="11"/>
      <c r="E123" s="11"/>
      <c r="F123" s="11"/>
      <c r="G123" s="43"/>
      <c r="H123" s="11"/>
      <c r="J123" s="11"/>
      <c r="K123" s="44"/>
    </row>
    <row r="124" spans="1:11">
      <c r="A124" s="4">
        <v>25</v>
      </c>
      <c r="B124" s="367" t="s">
        <v>55</v>
      </c>
      <c r="C124" s="15" t="s">
        <v>56</v>
      </c>
      <c r="D124" s="19">
        <v>0</v>
      </c>
      <c r="E124" s="11"/>
      <c r="F124" s="11" t="str">
        <f>+F98</f>
        <v>TP</v>
      </c>
      <c r="G124" s="41">
        <f>+G98</f>
        <v>1</v>
      </c>
      <c r="H124" s="11"/>
      <c r="I124" s="11">
        <f>+G124*D124</f>
        <v>0</v>
      </c>
      <c r="J124" s="11"/>
      <c r="K124" s="15"/>
    </row>
    <row r="125" spans="1:11">
      <c r="A125" s="4"/>
      <c r="B125" s="362"/>
      <c r="C125" s="11"/>
      <c r="D125" s="11"/>
      <c r="E125" s="11"/>
      <c r="F125" s="11"/>
      <c r="G125" s="11"/>
      <c r="H125" s="11"/>
      <c r="I125" s="11"/>
      <c r="J125" s="11"/>
      <c r="K125" s="15"/>
    </row>
    <row r="126" spans="1:11">
      <c r="A126" s="4"/>
      <c r="B126" s="362" t="s">
        <v>173</v>
      </c>
      <c r="C126" s="11" t="s">
        <v>2</v>
      </c>
      <c r="D126" s="11"/>
      <c r="E126" s="11"/>
      <c r="F126" s="11"/>
      <c r="G126" s="11"/>
      <c r="H126" s="11"/>
      <c r="I126" s="11"/>
      <c r="J126" s="11"/>
      <c r="K126" s="15"/>
    </row>
    <row r="127" spans="1:11">
      <c r="A127" s="4">
        <v>26</v>
      </c>
      <c r="B127" s="362" t="s">
        <v>174</v>
      </c>
      <c r="C127" s="1" t="s">
        <v>170</v>
      </c>
      <c r="D127" s="11">
        <f>+D171/8</f>
        <v>10576226.125</v>
      </c>
      <c r="E127" s="11"/>
      <c r="F127" s="11"/>
      <c r="G127" s="43"/>
      <c r="H127" s="11"/>
      <c r="I127" s="11">
        <f>+I171/8</f>
        <v>2252408.9141497472</v>
      </c>
      <c r="J127" s="6"/>
      <c r="K127" s="44"/>
    </row>
    <row r="128" spans="1:11">
      <c r="A128" s="4">
        <v>27</v>
      </c>
      <c r="B128" s="362" t="s">
        <v>514</v>
      </c>
      <c r="C128" s="11" t="s">
        <v>217</v>
      </c>
      <c r="D128" s="19">
        <f>'Inv Bal'!D24</f>
        <v>9896786.538461538</v>
      </c>
      <c r="E128" s="11"/>
      <c r="F128" s="11" t="s">
        <v>57</v>
      </c>
      <c r="G128" s="41">
        <f>I247</f>
        <v>0.98026438439175723</v>
      </c>
      <c r="H128" s="11"/>
      <c r="I128" s="11">
        <f>+G128*D128</f>
        <v>9701467.3635816295</v>
      </c>
      <c r="J128" s="11" t="s">
        <v>2</v>
      </c>
      <c r="K128" s="44"/>
    </row>
    <row r="129" spans="1:11" ht="16.2" thickBot="1">
      <c r="A129" s="4">
        <v>28</v>
      </c>
      <c r="B129" s="362" t="s">
        <v>515</v>
      </c>
      <c r="C129" s="11" t="s">
        <v>200</v>
      </c>
      <c r="D129" s="42">
        <f>Prepay!D25</f>
        <v>14563468.076923076</v>
      </c>
      <c r="E129" s="11"/>
      <c r="F129" s="11" t="s">
        <v>58</v>
      </c>
      <c r="G129" s="41">
        <f>+G94</f>
        <v>0.1080157419282214</v>
      </c>
      <c r="H129" s="11"/>
      <c r="I129" s="20">
        <f>+G129*D129</f>
        <v>1573083.8093768137</v>
      </c>
      <c r="J129" s="11"/>
      <c r="K129" s="44"/>
    </row>
    <row r="130" spans="1:11">
      <c r="A130" s="4">
        <v>29</v>
      </c>
      <c r="B130" s="362" t="s">
        <v>256</v>
      </c>
      <c r="C130" s="6"/>
      <c r="D130" s="11">
        <f>D127+D128+D129</f>
        <v>35036480.740384609</v>
      </c>
      <c r="E130" s="6"/>
      <c r="F130" s="6"/>
      <c r="G130" s="6"/>
      <c r="H130" s="6"/>
      <c r="I130" s="11">
        <f>I127+I128+I129</f>
        <v>13526960.087108191</v>
      </c>
      <c r="J130" s="6"/>
      <c r="K130" s="9"/>
    </row>
    <row r="131" spans="1:11" ht="16.2" thickBot="1">
      <c r="C131" s="11"/>
      <c r="D131" s="47"/>
      <c r="E131" s="11"/>
      <c r="F131" s="11"/>
      <c r="G131" s="11"/>
      <c r="H131" s="11"/>
      <c r="I131" s="47"/>
      <c r="J131" s="11"/>
      <c r="K131" s="15"/>
    </row>
    <row r="132" spans="1:11" ht="16.2" thickBot="1">
      <c r="A132" s="4">
        <v>30</v>
      </c>
      <c r="B132" s="362" t="s">
        <v>528</v>
      </c>
      <c r="C132" s="11"/>
      <c r="D132" s="48">
        <f>+D130+D124+D122+D112+D110</f>
        <v>10711009378.124807</v>
      </c>
      <c r="E132" s="11"/>
      <c r="F132" s="11"/>
      <c r="G132" s="43"/>
      <c r="H132" s="11"/>
      <c r="I132" s="48">
        <f>+I130+I124+I122+I112+I110</f>
        <v>1094899842.6564174</v>
      </c>
      <c r="J132" s="11"/>
      <c r="K132" s="44"/>
    </row>
    <row r="133" spans="1:11" ht="16.2" thickTop="1">
      <c r="A133" s="4"/>
      <c r="B133" s="362"/>
      <c r="C133" s="11"/>
      <c r="D133" s="49"/>
      <c r="E133" s="11"/>
      <c r="F133" s="11"/>
      <c r="G133" s="43"/>
      <c r="H133" s="11"/>
      <c r="I133" s="49"/>
      <c r="J133" s="11"/>
      <c r="K133" s="44"/>
    </row>
    <row r="134" spans="1:11">
      <c r="A134" s="4"/>
      <c r="B134" s="362"/>
      <c r="C134" s="11"/>
      <c r="D134" s="49"/>
      <c r="E134" s="11"/>
      <c r="F134" s="11"/>
      <c r="G134" s="43"/>
      <c r="H134" s="11"/>
      <c r="I134" s="49"/>
      <c r="J134" s="11"/>
      <c r="K134" s="44"/>
    </row>
    <row r="135" spans="1:11">
      <c r="A135" s="4"/>
      <c r="B135" s="362"/>
      <c r="C135" s="11"/>
      <c r="D135" s="49"/>
      <c r="E135" s="11"/>
      <c r="F135" s="11"/>
      <c r="G135" s="43"/>
      <c r="H135" s="11"/>
      <c r="I135" s="49"/>
      <c r="J135" s="11"/>
      <c r="K135" s="44"/>
    </row>
    <row r="136" spans="1:11">
      <c r="A136" s="4"/>
      <c r="B136" s="362"/>
      <c r="C136" s="11"/>
      <c r="D136" s="49"/>
      <c r="E136" s="11"/>
      <c r="F136" s="11"/>
      <c r="G136" s="43"/>
      <c r="H136" s="11"/>
      <c r="I136" s="49"/>
      <c r="J136" s="11"/>
      <c r="K136" s="44"/>
    </row>
    <row r="137" spans="1:11">
      <c r="A137" s="4"/>
      <c r="B137" s="362"/>
      <c r="C137" s="11"/>
      <c r="D137" s="49"/>
      <c r="E137" s="11"/>
      <c r="F137" s="11"/>
      <c r="G137" s="43"/>
      <c r="H137" s="11"/>
      <c r="I137" s="49"/>
      <c r="J137" s="11"/>
      <c r="K137" s="44"/>
    </row>
    <row r="138" spans="1:11">
      <c r="A138" s="4"/>
      <c r="B138" s="362"/>
      <c r="C138" s="11"/>
      <c r="D138" s="49"/>
      <c r="E138" s="11"/>
      <c r="F138" s="11"/>
      <c r="G138" s="43"/>
      <c r="H138" s="11"/>
      <c r="I138" s="49"/>
      <c r="J138" s="11"/>
      <c r="K138" s="44"/>
    </row>
    <row r="139" spans="1:11">
      <c r="A139" s="4"/>
      <c r="B139" s="362"/>
      <c r="C139" s="11"/>
      <c r="D139" s="49"/>
      <c r="E139" s="11"/>
      <c r="F139" s="11"/>
      <c r="G139" s="43"/>
      <c r="H139" s="11"/>
      <c r="I139" s="49"/>
      <c r="J139" s="11"/>
      <c r="K139" s="44"/>
    </row>
    <row r="140" spans="1:11">
      <c r="A140" s="4"/>
      <c r="B140" s="362"/>
      <c r="C140" s="11"/>
      <c r="D140" s="49"/>
      <c r="E140" s="11"/>
      <c r="F140" s="11"/>
      <c r="G140" s="43"/>
      <c r="H140" s="11"/>
      <c r="I140" s="49"/>
      <c r="J140" s="11"/>
      <c r="K140" s="44"/>
    </row>
    <row r="141" spans="1:11">
      <c r="A141" s="4"/>
      <c r="B141" s="362"/>
      <c r="C141" s="11"/>
      <c r="D141" s="49"/>
      <c r="E141" s="11"/>
      <c r="F141" s="11"/>
      <c r="G141" s="43"/>
      <c r="H141" s="11"/>
      <c r="I141" s="49"/>
      <c r="J141" s="11"/>
      <c r="K141" s="44"/>
    </row>
    <row r="142" spans="1:11">
      <c r="A142" s="4"/>
      <c r="B142" s="362"/>
      <c r="C142" s="11"/>
      <c r="D142" s="49"/>
      <c r="E142" s="11"/>
      <c r="F142" s="11"/>
      <c r="G142" s="43"/>
      <c r="H142" s="11"/>
      <c r="I142" s="49"/>
      <c r="J142" s="11"/>
      <c r="K142" s="44"/>
    </row>
    <row r="143" spans="1:11">
      <c r="A143" s="4"/>
      <c r="B143" s="362"/>
      <c r="C143" s="11"/>
      <c r="D143" s="49"/>
      <c r="E143" s="11"/>
      <c r="F143" s="11"/>
      <c r="G143" s="43"/>
      <c r="H143" s="11"/>
      <c r="I143" s="49"/>
      <c r="J143" s="11"/>
      <c r="K143" s="44"/>
    </row>
    <row r="144" spans="1:11">
      <c r="A144" s="4"/>
      <c r="B144" s="362"/>
      <c r="C144" s="11"/>
      <c r="D144" s="49"/>
      <c r="E144" s="11"/>
      <c r="F144" s="11"/>
      <c r="G144" s="43"/>
      <c r="H144" s="11"/>
      <c r="I144" s="49"/>
      <c r="J144" s="11"/>
      <c r="K144" s="44"/>
    </row>
    <row r="145" spans="1:11">
      <c r="A145" s="434"/>
      <c r="B145" s="434"/>
      <c r="C145" s="434"/>
      <c r="D145" s="49"/>
      <c r="E145" s="11"/>
      <c r="F145" s="11"/>
      <c r="G145" s="43"/>
      <c r="H145" s="11"/>
      <c r="I145" s="435"/>
      <c r="J145" s="435"/>
      <c r="K145" s="435"/>
    </row>
    <row r="146" spans="1:11">
      <c r="A146" s="434"/>
      <c r="B146" s="434"/>
      <c r="C146" s="11"/>
      <c r="D146" s="49"/>
      <c r="E146" s="11"/>
      <c r="F146" s="11"/>
      <c r="G146" s="43"/>
      <c r="H146" s="11"/>
      <c r="I146" s="49"/>
      <c r="J146" s="11"/>
      <c r="K146" s="363"/>
    </row>
    <row r="147" spans="1:11" ht="32.25" customHeight="1">
      <c r="A147" s="450"/>
      <c r="B147" s="450"/>
      <c r="C147" s="450"/>
      <c r="D147" s="450"/>
      <c r="E147" s="450"/>
      <c r="F147" s="450"/>
      <c r="G147" s="450"/>
      <c r="H147" s="450"/>
      <c r="I147" s="450"/>
      <c r="J147" s="450"/>
      <c r="K147" s="450"/>
    </row>
    <row r="148" spans="1:11">
      <c r="B148" s="367"/>
      <c r="C148" s="367"/>
      <c r="D148" s="2"/>
      <c r="E148" s="367"/>
      <c r="F148" s="436"/>
      <c r="G148" s="437"/>
      <c r="H148" s="437"/>
      <c r="I148" s="437"/>
      <c r="J148" s="437"/>
      <c r="K148" s="437"/>
    </row>
    <row r="149" spans="1:11">
      <c r="B149" s="367"/>
      <c r="C149" s="367"/>
      <c r="D149" s="447" t="s">
        <v>723</v>
      </c>
      <c r="E149" s="447"/>
      <c r="F149" s="447"/>
      <c r="G149" s="447"/>
      <c r="H149" s="447"/>
      <c r="I149" s="447"/>
      <c r="J149" s="447"/>
      <c r="K149" s="447"/>
    </row>
    <row r="150" spans="1:11">
      <c r="B150" s="367"/>
      <c r="C150" s="367"/>
      <c r="D150" s="2"/>
      <c r="E150" s="367"/>
      <c r="F150" s="367"/>
      <c r="G150" s="367"/>
      <c r="H150" s="3"/>
      <c r="I150" s="5"/>
      <c r="J150" s="5"/>
      <c r="K150" s="365"/>
    </row>
    <row r="151" spans="1:11">
      <c r="B151" s="367"/>
      <c r="C151" s="367"/>
      <c r="D151" s="2"/>
      <c r="E151" s="367"/>
      <c r="F151" s="367"/>
      <c r="G151" s="367"/>
      <c r="H151" s="3"/>
      <c r="I151" s="448" t="s">
        <v>608</v>
      </c>
      <c r="J151" s="448"/>
      <c r="K151" s="448"/>
    </row>
    <row r="152" spans="1:11">
      <c r="B152" s="367"/>
      <c r="C152" s="367"/>
      <c r="D152" s="2"/>
      <c r="E152" s="367"/>
      <c r="F152" s="367"/>
      <c r="G152" s="367"/>
      <c r="H152" s="3"/>
      <c r="I152" s="3"/>
      <c r="J152" s="449" t="s">
        <v>461</v>
      </c>
      <c r="K152" s="449"/>
    </row>
    <row r="153" spans="1:11">
      <c r="B153" s="367"/>
      <c r="C153" s="367"/>
      <c r="D153" s="2"/>
      <c r="E153" s="367"/>
      <c r="F153" s="367"/>
      <c r="G153" s="367"/>
      <c r="H153" s="3"/>
      <c r="I153" s="3"/>
      <c r="J153" s="6"/>
      <c r="K153" s="361"/>
    </row>
    <row r="154" spans="1:11">
      <c r="B154" s="367" t="s">
        <v>0</v>
      </c>
      <c r="C154" s="367"/>
      <c r="D154" s="2" t="s">
        <v>1</v>
      </c>
      <c r="E154" s="367"/>
      <c r="F154" s="367"/>
      <c r="G154" s="367"/>
      <c r="H154" s="3"/>
      <c r="I154" s="3"/>
      <c r="J154" s="6"/>
      <c r="K154" s="361" t="str">
        <f>K7</f>
        <v>Estimated - For the 12 months ended 12/31/17</v>
      </c>
    </row>
    <row r="155" spans="1:11">
      <c r="B155" s="367"/>
      <c r="C155" s="11" t="s">
        <v>2</v>
      </c>
      <c r="D155" s="11" t="s">
        <v>3</v>
      </c>
      <c r="E155" s="11"/>
      <c r="F155" s="11"/>
      <c r="G155" s="11"/>
      <c r="H155" s="3"/>
      <c r="I155" s="3"/>
      <c r="J155" s="6"/>
      <c r="K155" s="9"/>
    </row>
    <row r="156" spans="1:11">
      <c r="B156" s="367"/>
      <c r="C156" s="11"/>
      <c r="D156" s="11"/>
      <c r="E156" s="11"/>
      <c r="F156" s="11"/>
      <c r="G156" s="11"/>
      <c r="H156" s="3"/>
      <c r="I156" s="3"/>
      <c r="J156" s="6"/>
      <c r="K156" s="9"/>
    </row>
    <row r="157" spans="1:11">
      <c r="A157" s="4"/>
      <c r="D157" s="1" t="str">
        <f>D10</f>
        <v>MidAmerican Energy Company</v>
      </c>
      <c r="J157" s="11"/>
      <c r="K157" s="15"/>
    </row>
    <row r="158" spans="1:11">
      <c r="A158" s="4"/>
      <c r="B158" s="33" t="s">
        <v>32</v>
      </c>
      <c r="C158" s="33" t="s">
        <v>33</v>
      </c>
      <c r="D158" s="33" t="s">
        <v>34</v>
      </c>
      <c r="E158" s="11" t="s">
        <v>2</v>
      </c>
      <c r="F158" s="11"/>
      <c r="G158" s="34" t="s">
        <v>35</v>
      </c>
      <c r="H158" s="11"/>
      <c r="I158" s="35" t="s">
        <v>36</v>
      </c>
      <c r="J158" s="11"/>
      <c r="K158" s="15"/>
    </row>
    <row r="159" spans="1:11">
      <c r="A159" s="4" t="s">
        <v>4</v>
      </c>
      <c r="B159" s="362"/>
      <c r="C159" s="36" t="s">
        <v>37</v>
      </c>
      <c r="D159" s="11"/>
      <c r="E159" s="11"/>
      <c r="F159" s="11"/>
      <c r="G159" s="4"/>
      <c r="H159" s="11"/>
      <c r="I159" s="37" t="s">
        <v>38</v>
      </c>
      <c r="J159" s="11"/>
      <c r="K159" s="50"/>
    </row>
    <row r="160" spans="1:11" ht="16.2" thickBot="1">
      <c r="A160" s="13" t="s">
        <v>6</v>
      </c>
      <c r="B160" s="362"/>
      <c r="C160" s="38" t="s">
        <v>39</v>
      </c>
      <c r="D160" s="37" t="s">
        <v>40</v>
      </c>
      <c r="E160" s="39"/>
      <c r="F160" s="37" t="s">
        <v>41</v>
      </c>
      <c r="H160" s="39"/>
      <c r="I160" s="4" t="s">
        <v>42</v>
      </c>
      <c r="J160" s="11"/>
      <c r="K160" s="50"/>
    </row>
    <row r="161" spans="1:15">
      <c r="A161" s="4"/>
      <c r="B161" s="362" t="s">
        <v>501</v>
      </c>
      <c r="C161" s="11"/>
      <c r="D161" s="11"/>
      <c r="E161" s="11"/>
      <c r="F161" s="11"/>
      <c r="G161" s="11"/>
      <c r="H161" s="11"/>
      <c r="I161" s="11"/>
      <c r="J161" s="11"/>
      <c r="K161" s="15"/>
    </row>
    <row r="162" spans="1:15">
      <c r="A162" s="4">
        <v>1</v>
      </c>
      <c r="B162" s="362" t="s">
        <v>59</v>
      </c>
      <c r="C162" s="11" t="s">
        <v>210</v>
      </c>
      <c r="D162" s="19">
        <f>'O&amp;M'!C22</f>
        <v>77729929</v>
      </c>
      <c r="E162" s="11"/>
      <c r="F162" s="11" t="s">
        <v>57</v>
      </c>
      <c r="G162" s="41">
        <f>I247</f>
        <v>0.98026438439175723</v>
      </c>
      <c r="H162" s="11"/>
      <c r="I162" s="11">
        <f>+G162*D162</f>
        <v>76195881</v>
      </c>
      <c r="J162" s="6"/>
      <c r="K162" s="15"/>
    </row>
    <row r="163" spans="1:15">
      <c r="A163" s="108" t="s">
        <v>203</v>
      </c>
      <c r="B163" s="364" t="s">
        <v>237</v>
      </c>
      <c r="C163" s="15"/>
      <c r="D163" s="19">
        <f>'Acct 561'!C15+'Acct 561'!C23</f>
        <v>5494565</v>
      </c>
      <c r="E163" s="11"/>
      <c r="F163" s="110"/>
      <c r="G163" s="41">
        <v>1</v>
      </c>
      <c r="H163" s="11"/>
      <c r="I163" s="11">
        <f>+G163*D163</f>
        <v>5494565</v>
      </c>
      <c r="J163" s="6"/>
      <c r="K163" s="15"/>
    </row>
    <row r="164" spans="1:15">
      <c r="A164" s="4">
        <v>2</v>
      </c>
      <c r="B164" s="362" t="s">
        <v>60</v>
      </c>
      <c r="C164" s="11" t="s">
        <v>211</v>
      </c>
      <c r="D164" s="19">
        <f>'Acct 565'!C13</f>
        <v>58197402</v>
      </c>
      <c r="E164" s="11"/>
      <c r="F164" s="11" t="s">
        <v>57</v>
      </c>
      <c r="G164" s="41">
        <f>+G162</f>
        <v>0.98026438439175723</v>
      </c>
      <c r="H164" s="11"/>
      <c r="I164" s="11">
        <f t="shared" ref="I164:I170" si="3">+G164*D164</f>
        <v>57048840.444729619</v>
      </c>
      <c r="J164" s="6"/>
      <c r="K164" s="15"/>
    </row>
    <row r="165" spans="1:15">
      <c r="A165" s="4">
        <v>3</v>
      </c>
      <c r="B165" s="362" t="s">
        <v>61</v>
      </c>
      <c r="C165" s="11" t="s">
        <v>212</v>
      </c>
      <c r="D165" s="19">
        <f>'A&amp;G'!C22</f>
        <v>72463948</v>
      </c>
      <c r="E165" s="11"/>
      <c r="F165" s="11" t="s">
        <v>49</v>
      </c>
      <c r="G165" s="41">
        <f>+G100</f>
        <v>6.1877305803369399E-2</v>
      </c>
      <c r="H165" s="11"/>
      <c r="I165" s="11">
        <f t="shared" si="3"/>
        <v>4483873.870115458</v>
      </c>
      <c r="J165" s="11"/>
      <c r="K165" s="15" t="s">
        <v>2</v>
      </c>
    </row>
    <row r="166" spans="1:15">
      <c r="A166" s="4">
        <v>4</v>
      </c>
      <c r="B166" s="362" t="s">
        <v>62</v>
      </c>
      <c r="C166" s="11" t="s">
        <v>363</v>
      </c>
      <c r="D166" s="19">
        <f>'FERC Exp &amp; EPRI'!C10</f>
        <v>1731722</v>
      </c>
      <c r="E166" s="11"/>
      <c r="F166" s="11" t="str">
        <f>+F165</f>
        <v>W/S</v>
      </c>
      <c r="G166" s="41">
        <f>+G165</f>
        <v>6.1877305803369399E-2</v>
      </c>
      <c r="H166" s="11"/>
      <c r="I166" s="11">
        <f t="shared" si="3"/>
        <v>107154.29176042246</v>
      </c>
      <c r="J166" s="11"/>
      <c r="K166" s="15"/>
    </row>
    <row r="167" spans="1:15">
      <c r="A167" s="4">
        <v>5</v>
      </c>
      <c r="B167" s="364" t="s">
        <v>364</v>
      </c>
      <c r="C167" s="15"/>
      <c r="D167" s="19">
        <f>'FERC Exp &amp; EPRI'!C12</f>
        <v>160379</v>
      </c>
      <c r="E167" s="11"/>
      <c r="F167" s="11" t="str">
        <f>+F166</f>
        <v>W/S</v>
      </c>
      <c r="G167" s="41">
        <f>+G166</f>
        <v>6.1877305803369399E-2</v>
      </c>
      <c r="H167" s="11"/>
      <c r="I167" s="11">
        <f t="shared" si="3"/>
        <v>9923.8204274385807</v>
      </c>
      <c r="J167" s="11"/>
      <c r="K167" s="15"/>
    </row>
    <row r="168" spans="1:15">
      <c r="A168" s="4" t="s">
        <v>181</v>
      </c>
      <c r="B168" s="364" t="s">
        <v>238</v>
      </c>
      <c r="C168" s="15"/>
      <c r="D168" s="19">
        <v>0</v>
      </c>
      <c r="E168" s="11"/>
      <c r="F168" s="51" t="str">
        <f>+F162</f>
        <v>TE</v>
      </c>
      <c r="G168" s="52">
        <f>+G162</f>
        <v>0.98026438439175723</v>
      </c>
      <c r="H168" s="11"/>
      <c r="I168" s="11">
        <f>+G168*D168</f>
        <v>0</v>
      </c>
      <c r="J168" s="11"/>
      <c r="K168" s="15"/>
    </row>
    <row r="169" spans="1:15">
      <c r="A169" s="4">
        <v>6</v>
      </c>
      <c r="B169" s="362" t="s">
        <v>50</v>
      </c>
      <c r="C169" s="11" t="str">
        <f>+C101</f>
        <v>356.1</v>
      </c>
      <c r="D169" s="19">
        <v>0</v>
      </c>
      <c r="E169" s="11"/>
      <c r="F169" s="11" t="s">
        <v>94</v>
      </c>
      <c r="G169" s="41">
        <f>+G101</f>
        <v>5.6863946829947012E-2</v>
      </c>
      <c r="H169" s="11"/>
      <c r="I169" s="11">
        <f t="shared" si="3"/>
        <v>0</v>
      </c>
      <c r="J169" s="11"/>
      <c r="K169" s="15"/>
    </row>
    <row r="170" spans="1:15" ht="16.2" thickBot="1">
      <c r="A170" s="4">
        <v>7</v>
      </c>
      <c r="B170" s="362" t="s">
        <v>63</v>
      </c>
      <c r="C170" s="11"/>
      <c r="D170" s="42">
        <v>0</v>
      </c>
      <c r="E170" s="11"/>
      <c r="F170" s="11" t="s">
        <v>2</v>
      </c>
      <c r="G170" s="41">
        <v>1</v>
      </c>
      <c r="H170" s="11"/>
      <c r="I170" s="20">
        <f t="shared" si="3"/>
        <v>0</v>
      </c>
      <c r="J170" s="11"/>
      <c r="K170" s="15"/>
    </row>
    <row r="171" spans="1:15">
      <c r="A171" s="108">
        <v>8</v>
      </c>
      <c r="B171" s="364" t="s">
        <v>273</v>
      </c>
      <c r="C171" s="15"/>
      <c r="D171" s="15">
        <f>+D162-D164+D165-D166-D167-D163+D169+D170+D168</f>
        <v>84609809</v>
      </c>
      <c r="E171" s="15"/>
      <c r="F171" s="15"/>
      <c r="G171" s="15"/>
      <c r="H171" s="15"/>
      <c r="I171" s="15">
        <f>+I162-I164+I165-I166-I167-I163+I169+I170+I168</f>
        <v>18019271.313197978</v>
      </c>
      <c r="J171" s="15"/>
      <c r="K171" s="15"/>
      <c r="L171" s="7"/>
      <c r="M171" s="7"/>
      <c r="N171" s="7"/>
      <c r="O171" s="7"/>
    </row>
    <row r="172" spans="1:15">
      <c r="A172" s="4"/>
      <c r="C172" s="11"/>
      <c r="E172" s="11"/>
      <c r="F172" s="11"/>
      <c r="G172" s="11"/>
      <c r="H172" s="11"/>
      <c r="J172" s="11"/>
      <c r="K172" s="15"/>
    </row>
    <row r="173" spans="1:15">
      <c r="A173" s="4"/>
      <c r="B173" s="362" t="s">
        <v>517</v>
      </c>
      <c r="C173" s="11"/>
      <c r="D173" s="11"/>
      <c r="E173" s="11"/>
      <c r="F173" s="11"/>
      <c r="G173" s="11"/>
      <c r="H173" s="11"/>
      <c r="I173" s="11"/>
      <c r="J173" s="11"/>
      <c r="K173" s="15"/>
    </row>
    <row r="174" spans="1:15">
      <c r="A174" s="4">
        <v>9</v>
      </c>
      <c r="B174" s="362" t="str">
        <f>+B162</f>
        <v xml:space="preserve">  Transmission </v>
      </c>
      <c r="C174" s="11" t="s">
        <v>64</v>
      </c>
      <c r="D174" s="19">
        <f>Depreciation!C12</f>
        <v>36762000</v>
      </c>
      <c r="E174" s="11"/>
      <c r="F174" s="11" t="s">
        <v>11</v>
      </c>
      <c r="G174" s="41">
        <f>+G124</f>
        <v>1</v>
      </c>
      <c r="H174" s="11"/>
      <c r="I174" s="11">
        <f>+G174*D174</f>
        <v>36762000</v>
      </c>
      <c r="J174" s="11"/>
      <c r="K174" s="44"/>
    </row>
    <row r="175" spans="1:15">
      <c r="A175" s="4" t="s">
        <v>401</v>
      </c>
      <c r="B175" s="362" t="s">
        <v>419</v>
      </c>
      <c r="C175" s="11" t="s">
        <v>516</v>
      </c>
      <c r="D175" s="19">
        <v>0</v>
      </c>
      <c r="E175" s="11"/>
      <c r="F175" s="11" t="s">
        <v>11</v>
      </c>
      <c r="G175" s="41">
        <f>+G124</f>
        <v>1</v>
      </c>
      <c r="H175" s="11"/>
      <c r="I175" s="11">
        <f t="shared" ref="I175:I176" si="4">+G175*D175</f>
        <v>0</v>
      </c>
      <c r="J175" s="11"/>
      <c r="K175" s="44"/>
    </row>
    <row r="176" spans="1:15">
      <c r="A176" s="4" t="s">
        <v>402</v>
      </c>
      <c r="B176" s="362" t="s">
        <v>403</v>
      </c>
      <c r="C176" s="11" t="s">
        <v>516</v>
      </c>
      <c r="D176" s="19">
        <v>0</v>
      </c>
      <c r="E176" s="11"/>
      <c r="F176" s="11" t="s">
        <v>11</v>
      </c>
      <c r="G176" s="41">
        <f>+G124</f>
        <v>1</v>
      </c>
      <c r="H176" s="11"/>
      <c r="I176" s="11">
        <f t="shared" si="4"/>
        <v>0</v>
      </c>
      <c r="J176" s="11"/>
      <c r="K176" s="44"/>
    </row>
    <row r="177" spans="1:11">
      <c r="A177" s="4">
        <v>10</v>
      </c>
      <c r="B177" s="362" t="s">
        <v>502</v>
      </c>
      <c r="C177" s="11" t="s">
        <v>535</v>
      </c>
      <c r="D177" s="19">
        <f>Depreciation!C17</f>
        <v>18154285</v>
      </c>
      <c r="E177" s="11"/>
      <c r="F177" s="11" t="s">
        <v>49</v>
      </c>
      <c r="G177" s="41">
        <f>+G165</f>
        <v>6.1877305803369399E-2</v>
      </c>
      <c r="H177" s="11"/>
      <c r="I177" s="11">
        <f>+G177*D177</f>
        <v>1123338.244586522</v>
      </c>
      <c r="J177" s="11"/>
      <c r="K177" s="44"/>
    </row>
    <row r="178" spans="1:11" ht="16.2" thickBot="1">
      <c r="A178" s="4">
        <v>11</v>
      </c>
      <c r="B178" s="362" t="str">
        <f>+B169</f>
        <v xml:space="preserve">  Common</v>
      </c>
      <c r="C178" s="11" t="s">
        <v>213</v>
      </c>
      <c r="D178" s="42">
        <v>0</v>
      </c>
      <c r="E178" s="11"/>
      <c r="F178" s="11" t="s">
        <v>94</v>
      </c>
      <c r="G178" s="41">
        <f>+G169</f>
        <v>5.6863946829947012E-2</v>
      </c>
      <c r="H178" s="11"/>
      <c r="I178" s="20">
        <f>+G178*D178</f>
        <v>0</v>
      </c>
      <c r="J178" s="11"/>
      <c r="K178" s="44"/>
    </row>
    <row r="179" spans="1:11">
      <c r="A179" s="4">
        <v>12</v>
      </c>
      <c r="B179" s="362" t="s">
        <v>260</v>
      </c>
      <c r="C179" s="11"/>
      <c r="D179" s="11">
        <f>SUM(D174:D178)</f>
        <v>54916285</v>
      </c>
      <c r="E179" s="11"/>
      <c r="F179" s="11"/>
      <c r="G179" s="11"/>
      <c r="H179" s="11"/>
      <c r="I179" s="11">
        <f>SUM(I174:I178)</f>
        <v>37885338.24458652</v>
      </c>
      <c r="J179" s="11"/>
      <c r="K179" s="15"/>
    </row>
    <row r="180" spans="1:11">
      <c r="A180" s="4"/>
      <c r="B180" s="362"/>
      <c r="C180" s="11"/>
      <c r="D180" s="11"/>
      <c r="E180" s="11"/>
      <c r="F180" s="11"/>
      <c r="G180" s="11"/>
      <c r="H180" s="11"/>
      <c r="I180" s="11"/>
      <c r="J180" s="11"/>
      <c r="K180" s="15"/>
    </row>
    <row r="181" spans="1:11">
      <c r="A181" s="4" t="s">
        <v>2</v>
      </c>
      <c r="B181" s="362" t="s">
        <v>239</v>
      </c>
      <c r="D181" s="11"/>
      <c r="E181" s="11"/>
      <c r="F181" s="11"/>
      <c r="G181" s="11"/>
      <c r="H181" s="11"/>
      <c r="I181" s="11"/>
      <c r="J181" s="11"/>
      <c r="K181" s="15"/>
    </row>
    <row r="182" spans="1:11">
      <c r="A182" s="4"/>
      <c r="B182" s="362" t="s">
        <v>65</v>
      </c>
      <c r="E182" s="11"/>
      <c r="F182" s="11"/>
      <c r="H182" s="11"/>
      <c r="J182" s="11"/>
      <c r="K182" s="44"/>
    </row>
    <row r="183" spans="1:11">
      <c r="A183" s="4">
        <v>13</v>
      </c>
      <c r="B183" s="362" t="s">
        <v>66</v>
      </c>
      <c r="C183" s="11" t="s">
        <v>191</v>
      </c>
      <c r="D183" s="19">
        <f>'Other Tax'!C9</f>
        <v>9961004.6187958028</v>
      </c>
      <c r="E183" s="11"/>
      <c r="F183" s="11" t="s">
        <v>49</v>
      </c>
      <c r="G183" s="17">
        <f>+G177</f>
        <v>6.1877305803369399E-2</v>
      </c>
      <c r="H183" s="11"/>
      <c r="I183" s="11">
        <f>+G183*D183</f>
        <v>616360.12890600297</v>
      </c>
      <c r="J183" s="11"/>
      <c r="K183" s="44"/>
    </row>
    <row r="184" spans="1:11">
      <c r="A184" s="4">
        <v>14</v>
      </c>
      <c r="B184" s="362" t="s">
        <v>67</v>
      </c>
      <c r="C184" s="11" t="str">
        <f>+C183</f>
        <v>263.i</v>
      </c>
      <c r="D184" s="19">
        <v>0</v>
      </c>
      <c r="E184" s="11"/>
      <c r="F184" s="11" t="str">
        <f>+F183</f>
        <v>W/S</v>
      </c>
      <c r="G184" s="17">
        <f>+G183</f>
        <v>6.1877305803369399E-2</v>
      </c>
      <c r="H184" s="11"/>
      <c r="I184" s="11">
        <f>+G184*D184</f>
        <v>0</v>
      </c>
      <c r="J184" s="11"/>
      <c r="K184" s="44"/>
    </row>
    <row r="185" spans="1:11">
      <c r="A185" s="4">
        <v>15</v>
      </c>
      <c r="B185" s="362" t="s">
        <v>68</v>
      </c>
      <c r="C185" s="11" t="s">
        <v>2</v>
      </c>
      <c r="E185" s="11"/>
      <c r="F185" s="11"/>
      <c r="H185" s="11"/>
      <c r="J185" s="11"/>
      <c r="K185" s="44"/>
    </row>
    <row r="186" spans="1:11">
      <c r="A186" s="4">
        <v>16</v>
      </c>
      <c r="B186" s="362" t="s">
        <v>69</v>
      </c>
      <c r="C186" s="11" t="s">
        <v>191</v>
      </c>
      <c r="D186" s="19">
        <f>'Other Tax'!C13</f>
        <v>92189321.764401495</v>
      </c>
      <c r="E186" s="11"/>
      <c r="F186" s="11" t="s">
        <v>58</v>
      </c>
      <c r="G186" s="17">
        <f>+G94</f>
        <v>0.1080157419282214</v>
      </c>
      <c r="H186" s="11"/>
      <c r="I186" s="11">
        <f>+G186*D186</f>
        <v>9957897.9882413559</v>
      </c>
      <c r="J186" s="11"/>
      <c r="K186" s="44"/>
    </row>
    <row r="187" spans="1:11">
      <c r="A187" s="4">
        <v>17</v>
      </c>
      <c r="B187" s="362" t="s">
        <v>70</v>
      </c>
      <c r="C187" s="11" t="s">
        <v>191</v>
      </c>
      <c r="D187" s="19">
        <v>0</v>
      </c>
      <c r="E187" s="11"/>
      <c r="F187" s="15" t="str">
        <f>+F115</f>
        <v>TP</v>
      </c>
      <c r="G187" s="53" t="s">
        <v>182</v>
      </c>
      <c r="H187" s="11"/>
      <c r="I187" s="11">
        <v>0</v>
      </c>
      <c r="J187" s="11"/>
      <c r="K187" s="44"/>
    </row>
    <row r="188" spans="1:11">
      <c r="A188" s="4">
        <v>18</v>
      </c>
      <c r="B188" s="362" t="s">
        <v>71</v>
      </c>
      <c r="C188" s="11" t="str">
        <f>+C187</f>
        <v>263.i</v>
      </c>
      <c r="D188" s="19">
        <f>'Other Tax'!C17</f>
        <v>1143382.6188685664</v>
      </c>
      <c r="E188" s="11"/>
      <c r="F188" s="11" t="str">
        <f>+F186</f>
        <v>GP</v>
      </c>
      <c r="G188" s="17">
        <f>+G186</f>
        <v>0.1080157419282214</v>
      </c>
      <c r="H188" s="11"/>
      <c r="I188" s="11">
        <f>+G188*D188</f>
        <v>123503.321884921</v>
      </c>
      <c r="J188" s="11"/>
      <c r="K188" s="44"/>
    </row>
    <row r="189" spans="1:11" ht="16.2" thickBot="1">
      <c r="A189" s="4">
        <v>19</v>
      </c>
      <c r="B189" s="362" t="s">
        <v>72</v>
      </c>
      <c r="C189" s="11"/>
      <c r="D189" s="42">
        <v>0</v>
      </c>
      <c r="E189" s="11"/>
      <c r="F189" s="11" t="s">
        <v>58</v>
      </c>
      <c r="G189" s="17">
        <f>+G186</f>
        <v>0.1080157419282214</v>
      </c>
      <c r="H189" s="11"/>
      <c r="I189" s="20">
        <f>+G189*D189</f>
        <v>0</v>
      </c>
      <c r="J189" s="11"/>
      <c r="K189" s="44"/>
    </row>
    <row r="190" spans="1:11">
      <c r="A190" s="4">
        <v>20</v>
      </c>
      <c r="B190" s="362" t="s">
        <v>73</v>
      </c>
      <c r="C190" s="11"/>
      <c r="D190" s="11">
        <f>SUM(D183:D189)</f>
        <v>103293709.00206585</v>
      </c>
      <c r="E190" s="11"/>
      <c r="F190" s="11"/>
      <c r="G190" s="17"/>
      <c r="H190" s="11"/>
      <c r="I190" s="11">
        <f>SUM(I183:I189)</f>
        <v>10697761.439032279</v>
      </c>
      <c r="J190" s="11"/>
      <c r="K190" s="15"/>
    </row>
    <row r="191" spans="1:11">
      <c r="A191" s="4"/>
      <c r="B191" s="362"/>
      <c r="C191" s="11"/>
      <c r="D191" s="11"/>
      <c r="E191" s="11"/>
      <c r="F191" s="11"/>
      <c r="G191" s="17"/>
      <c r="H191" s="11"/>
      <c r="I191" s="11"/>
      <c r="J191" s="11"/>
      <c r="K191" s="15"/>
    </row>
    <row r="192" spans="1:11">
      <c r="A192" s="4" t="s">
        <v>2</v>
      </c>
      <c r="B192" s="362" t="s">
        <v>74</v>
      </c>
      <c r="C192" s="11" t="s">
        <v>240</v>
      </c>
      <c r="D192" s="11"/>
      <c r="E192" s="11"/>
      <c r="G192" s="54"/>
      <c r="H192" s="11"/>
      <c r="J192" s="11"/>
    </row>
    <row r="193" spans="1:11">
      <c r="A193" s="4">
        <v>21</v>
      </c>
      <c r="B193" s="55" t="s">
        <v>161</v>
      </c>
      <c r="C193" s="11"/>
      <c r="D193" s="56">
        <f>IF(D324&gt;0,1-(((1-D325)*(1-D324))/(1-D325*D324*D326)),0)</f>
        <v>0.40266783587212784</v>
      </c>
      <c r="E193" s="11"/>
      <c r="G193" s="54"/>
      <c r="H193" s="11"/>
      <c r="J193" s="11"/>
    </row>
    <row r="194" spans="1:11">
      <c r="A194" s="4">
        <v>22</v>
      </c>
      <c r="B194" s="1" t="s">
        <v>162</v>
      </c>
      <c r="C194" s="11"/>
      <c r="D194" s="56">
        <f>IF(I278&gt;0,(D193/(1-D193))*(1-I275/I278),0)</f>
        <v>0.47842520297753677</v>
      </c>
      <c r="E194" s="11"/>
      <c r="G194" s="54"/>
      <c r="H194" s="11"/>
      <c r="J194" s="11"/>
    </row>
    <row r="195" spans="1:11">
      <c r="A195" s="4"/>
      <c r="B195" s="362" t="s">
        <v>228</v>
      </c>
      <c r="C195" s="11"/>
      <c r="D195" s="11"/>
      <c r="E195" s="11"/>
      <c r="G195" s="54"/>
      <c r="H195" s="11"/>
      <c r="J195" s="11"/>
    </row>
    <row r="196" spans="1:11">
      <c r="A196" s="4"/>
      <c r="B196" s="362" t="s">
        <v>165</v>
      </c>
      <c r="C196" s="11"/>
      <c r="D196" s="11"/>
      <c r="E196" s="11"/>
      <c r="G196" s="54"/>
      <c r="H196" s="11"/>
      <c r="J196" s="11"/>
    </row>
    <row r="197" spans="1:11">
      <c r="A197" s="4">
        <v>23</v>
      </c>
      <c r="B197" s="55" t="s">
        <v>164</v>
      </c>
      <c r="C197" s="11"/>
      <c r="D197" s="57">
        <f>IF(D193&gt;0,1/(1-D193),0)</f>
        <v>1.6741104197193839</v>
      </c>
      <c r="E197" s="11"/>
      <c r="G197" s="54"/>
      <c r="H197" s="11"/>
      <c r="J197" s="11"/>
    </row>
    <row r="198" spans="1:11">
      <c r="A198" s="4">
        <v>24</v>
      </c>
      <c r="B198" s="362" t="s">
        <v>163</v>
      </c>
      <c r="C198" s="11"/>
      <c r="D198" s="19">
        <f>'Amort Inves Tax Credit'!C11*(-1)</f>
        <v>-1219000</v>
      </c>
      <c r="E198" s="11"/>
      <c r="G198" s="54"/>
      <c r="H198" s="11"/>
      <c r="J198" s="11"/>
    </row>
    <row r="199" spans="1:11">
      <c r="A199" s="4"/>
      <c r="B199" s="362"/>
      <c r="C199" s="11"/>
      <c r="D199" s="11"/>
      <c r="E199" s="11"/>
      <c r="G199" s="54"/>
      <c r="H199" s="11"/>
      <c r="J199" s="11"/>
    </row>
    <row r="200" spans="1:11">
      <c r="A200" s="4">
        <v>25</v>
      </c>
      <c r="B200" s="55" t="s">
        <v>166</v>
      </c>
      <c r="C200" s="58"/>
      <c r="D200" s="11">
        <f>D194*D204</f>
        <v>354089897.51768154</v>
      </c>
      <c r="E200" s="11"/>
      <c r="F200" s="11" t="s">
        <v>45</v>
      </c>
      <c r="G200" s="17"/>
      <c r="H200" s="11"/>
      <c r="I200" s="11">
        <f>D194*I204</f>
        <v>36195745.834199846</v>
      </c>
      <c r="J200" s="11"/>
      <c r="K200" s="59" t="s">
        <v>2</v>
      </c>
    </row>
    <row r="201" spans="1:11" ht="16.2" thickBot="1">
      <c r="A201" s="4">
        <v>26</v>
      </c>
      <c r="B201" s="1" t="s">
        <v>168</v>
      </c>
      <c r="C201" s="58"/>
      <c r="D201" s="20">
        <f>D197*D198</f>
        <v>-2040740.601637929</v>
      </c>
      <c r="E201" s="11"/>
      <c r="F201" s="1" t="s">
        <v>54</v>
      </c>
      <c r="G201" s="17">
        <f>G110</f>
        <v>0.11794948924634906</v>
      </c>
      <c r="H201" s="11"/>
      <c r="I201" s="20">
        <f>G201*D201</f>
        <v>-240704.31164748082</v>
      </c>
      <c r="J201" s="11"/>
      <c r="K201" s="59"/>
    </row>
    <row r="202" spans="1:11">
      <c r="A202" s="4">
        <v>27</v>
      </c>
      <c r="B202" s="60" t="s">
        <v>149</v>
      </c>
      <c r="C202" s="1" t="s">
        <v>169</v>
      </c>
      <c r="D202" s="363">
        <f>+D200+D201</f>
        <v>352049156.91604364</v>
      </c>
      <c r="E202" s="11"/>
      <c r="F202" s="11" t="s">
        <v>2</v>
      </c>
      <c r="G202" s="17" t="s">
        <v>2</v>
      </c>
      <c r="H202" s="11"/>
      <c r="I202" s="363">
        <f>+I200+I201</f>
        <v>35955041.522552364</v>
      </c>
      <c r="J202" s="11"/>
      <c r="K202" s="15"/>
    </row>
    <row r="203" spans="1:11">
      <c r="A203" s="4" t="s">
        <v>2</v>
      </c>
      <c r="C203" s="61"/>
      <c r="D203" s="11"/>
      <c r="E203" s="11"/>
      <c r="F203" s="11"/>
      <c r="G203" s="17"/>
      <c r="H203" s="11"/>
      <c r="I203" s="11"/>
      <c r="J203" s="11"/>
      <c r="K203" s="15"/>
    </row>
    <row r="204" spans="1:11">
      <c r="A204" s="4">
        <v>28</v>
      </c>
      <c r="B204" s="362" t="s">
        <v>75</v>
      </c>
      <c r="C204" s="43"/>
      <c r="D204" s="11">
        <f>+$I278*D132</f>
        <v>740115477.4329623</v>
      </c>
      <c r="E204" s="11"/>
      <c r="F204" s="11" t="s">
        <v>45</v>
      </c>
      <c r="G204" s="54"/>
      <c r="H204" s="11"/>
      <c r="I204" s="11">
        <f>+$I278*I132</f>
        <v>75656018.138114944</v>
      </c>
      <c r="J204" s="11"/>
    </row>
    <row r="205" spans="1:11">
      <c r="A205" s="4"/>
      <c r="B205" s="60" t="s">
        <v>224</v>
      </c>
      <c r="D205" s="11"/>
      <c r="E205" s="11"/>
      <c r="F205" s="11"/>
      <c r="G205" s="54"/>
      <c r="H205" s="11"/>
      <c r="I205" s="11"/>
      <c r="J205" s="11"/>
      <c r="K205" s="44"/>
    </row>
    <row r="206" spans="1:11">
      <c r="A206" s="4"/>
      <c r="B206" s="362"/>
      <c r="D206" s="49"/>
      <c r="E206" s="11"/>
      <c r="F206" s="11"/>
      <c r="G206" s="54"/>
      <c r="H206" s="11"/>
      <c r="I206" s="49"/>
      <c r="J206" s="11"/>
      <c r="K206" s="44"/>
    </row>
    <row r="207" spans="1:11">
      <c r="A207" s="4">
        <v>29</v>
      </c>
      <c r="B207" s="362" t="s">
        <v>167</v>
      </c>
      <c r="C207" s="11"/>
      <c r="D207" s="49">
        <f>+D204+D202+D190+D179+D171</f>
        <v>1334984437.3510718</v>
      </c>
      <c r="E207" s="11"/>
      <c r="F207" s="11"/>
      <c r="G207" s="11"/>
      <c r="H207" s="11"/>
      <c r="I207" s="49">
        <f>+I204+I202+I190+I179+I171</f>
        <v>178213430.65748408</v>
      </c>
      <c r="J207" s="6"/>
      <c r="K207" s="9"/>
    </row>
    <row r="208" spans="1:11" ht="15.75" customHeight="1">
      <c r="A208" s="108">
        <v>30</v>
      </c>
      <c r="B208" s="364" t="s">
        <v>274</v>
      </c>
      <c r="C208" s="15"/>
      <c r="D208" s="49"/>
      <c r="E208" s="11"/>
      <c r="F208" s="11"/>
      <c r="G208" s="11"/>
      <c r="H208" s="11"/>
      <c r="I208" s="49"/>
      <c r="J208" s="6"/>
      <c r="K208" s="9"/>
    </row>
    <row r="209" spans="1:14">
      <c r="A209" s="108"/>
      <c r="B209" s="451" t="s">
        <v>223</v>
      </c>
      <c r="C209" s="451"/>
      <c r="J209" s="6"/>
      <c r="K209" s="9"/>
    </row>
    <row r="210" spans="1:14">
      <c r="A210" s="108"/>
      <c r="B210" s="364" t="s">
        <v>222</v>
      </c>
      <c r="C210" s="15"/>
      <c r="D210" s="46">
        <v>173555</v>
      </c>
      <c r="E210" s="11"/>
      <c r="F210" s="11"/>
      <c r="G210" s="11"/>
      <c r="H210" s="11"/>
      <c r="I210" s="46">
        <f>D210</f>
        <v>173555</v>
      </c>
      <c r="J210" s="6"/>
      <c r="K210" s="9"/>
    </row>
    <row r="211" spans="1:14">
      <c r="A211" s="108" t="s">
        <v>492</v>
      </c>
      <c r="B211" s="364" t="s">
        <v>609</v>
      </c>
      <c r="C211" s="15"/>
      <c r="D211" s="46"/>
      <c r="E211" s="11"/>
      <c r="F211" s="11"/>
      <c r="G211" s="11"/>
      <c r="H211" s="11"/>
      <c r="I211" s="46"/>
      <c r="J211" s="6"/>
      <c r="K211" s="9"/>
    </row>
    <row r="212" spans="1:14">
      <c r="A212" s="108"/>
      <c r="B212" s="364" t="s">
        <v>223</v>
      </c>
      <c r="C212" s="15"/>
      <c r="D212" s="46"/>
      <c r="E212" s="11"/>
      <c r="F212" s="11"/>
      <c r="G212" s="11"/>
      <c r="H212" s="11"/>
      <c r="I212" s="46"/>
      <c r="J212" s="6"/>
      <c r="K212" s="9"/>
    </row>
    <row r="213" spans="1:14" ht="16.2" thickBot="1">
      <c r="A213" s="108"/>
      <c r="B213" s="364" t="s">
        <v>493</v>
      </c>
      <c r="C213" s="15"/>
      <c r="D213" s="42">
        <v>53149590</v>
      </c>
      <c r="E213" s="11"/>
      <c r="F213" s="11"/>
      <c r="G213" s="11"/>
      <c r="H213" s="11"/>
      <c r="I213" s="42">
        <f>D213</f>
        <v>53149590</v>
      </c>
      <c r="J213" s="6"/>
      <c r="K213" s="9"/>
    </row>
    <row r="214" spans="1:14" ht="16.2" thickBot="1">
      <c r="A214" s="108">
        <v>31</v>
      </c>
      <c r="B214" s="7" t="s">
        <v>221</v>
      </c>
      <c r="C214" s="15"/>
      <c r="D214" s="136">
        <f>D207-D210-D213</f>
        <v>1281661292.3510718</v>
      </c>
      <c r="E214" s="15"/>
      <c r="F214" s="15"/>
      <c r="G214" s="15"/>
      <c r="H214" s="15"/>
      <c r="I214" s="136">
        <f>I207-I210-I213</f>
        <v>124890285.65748408</v>
      </c>
      <c r="J214" s="9"/>
      <c r="K214" s="15"/>
      <c r="L214" s="7"/>
      <c r="M214" s="7"/>
      <c r="N214" s="7"/>
    </row>
    <row r="215" spans="1:14" ht="16.2" thickTop="1">
      <c r="A215" s="108"/>
      <c r="B215" s="364" t="s">
        <v>539</v>
      </c>
      <c r="C215" s="15"/>
      <c r="D215" s="49"/>
      <c r="E215" s="11"/>
      <c r="F215" s="11"/>
      <c r="G215" s="11"/>
      <c r="H215" s="11"/>
      <c r="I215" s="49"/>
      <c r="J215" s="6"/>
      <c r="K215" s="9"/>
    </row>
    <row r="216" spans="1:14">
      <c r="A216" s="4"/>
      <c r="B216" s="362"/>
      <c r="C216" s="11"/>
      <c r="D216" s="49"/>
      <c r="E216" s="11"/>
      <c r="F216" s="11"/>
      <c r="G216" s="11"/>
      <c r="H216" s="11"/>
      <c r="I216" s="49"/>
      <c r="J216" s="6"/>
      <c r="K216" s="9"/>
    </row>
    <row r="217" spans="1:14">
      <c r="A217" s="4"/>
      <c r="B217" s="362"/>
      <c r="C217" s="11"/>
      <c r="D217" s="49"/>
      <c r="E217" s="11"/>
      <c r="F217" s="11"/>
      <c r="G217" s="11"/>
      <c r="H217" s="11"/>
      <c r="I217" s="49"/>
      <c r="J217" s="6"/>
      <c r="K217" s="9"/>
    </row>
    <row r="218" spans="1:14">
      <c r="A218" s="4"/>
      <c r="B218" s="362"/>
      <c r="C218" s="11"/>
      <c r="D218" s="49"/>
      <c r="E218" s="11"/>
      <c r="F218" s="11"/>
      <c r="G218" s="11"/>
      <c r="H218" s="11"/>
      <c r="I218" s="49"/>
      <c r="J218" s="6"/>
      <c r="K218" s="9"/>
    </row>
    <row r="219" spans="1:14">
      <c r="A219" s="452"/>
      <c r="B219" s="452"/>
      <c r="C219" s="452"/>
      <c r="D219" s="11"/>
      <c r="E219" s="11"/>
      <c r="F219" s="43"/>
      <c r="G219" s="435"/>
      <c r="H219" s="435"/>
      <c r="I219" s="435"/>
      <c r="J219" s="435"/>
      <c r="K219" s="435"/>
    </row>
    <row r="220" spans="1:14">
      <c r="A220" s="452"/>
      <c r="B220" s="452"/>
      <c r="C220" s="49"/>
      <c r="D220" s="11"/>
      <c r="E220" s="11"/>
      <c r="F220" s="43"/>
      <c r="G220" s="11"/>
      <c r="H220" s="11"/>
      <c r="I220" s="44"/>
      <c r="J220" s="363"/>
      <c r="K220" s="1"/>
    </row>
    <row r="221" spans="1:14">
      <c r="B221" s="367"/>
      <c r="C221" s="367"/>
      <c r="D221" s="2"/>
      <c r="E221" s="367"/>
      <c r="F221" s="367"/>
      <c r="G221" s="447" t="s">
        <v>723</v>
      </c>
      <c r="H221" s="453"/>
      <c r="I221" s="453"/>
      <c r="J221" s="453"/>
      <c r="K221" s="453"/>
    </row>
    <row r="222" spans="1:14">
      <c r="B222" s="367"/>
      <c r="C222" s="367"/>
      <c r="D222" s="2"/>
      <c r="E222" s="367"/>
      <c r="F222" s="436"/>
      <c r="G222" s="436"/>
      <c r="H222" s="436"/>
      <c r="I222" s="436"/>
      <c r="J222" s="436"/>
      <c r="K222" s="436"/>
    </row>
    <row r="223" spans="1:14">
      <c r="B223" s="367"/>
      <c r="C223" s="367"/>
      <c r="D223" s="2"/>
      <c r="E223" s="367"/>
      <c r="F223" s="367"/>
      <c r="G223" s="367"/>
      <c r="H223" s="3"/>
      <c r="I223" s="448" t="s">
        <v>608</v>
      </c>
      <c r="J223" s="448"/>
      <c r="K223" s="448"/>
    </row>
    <row r="224" spans="1:14">
      <c r="B224" s="367"/>
      <c r="C224" s="367"/>
      <c r="D224" s="2"/>
      <c r="E224" s="367"/>
      <c r="F224" s="367"/>
      <c r="G224" s="367"/>
      <c r="H224" s="3"/>
      <c r="I224" s="3"/>
      <c r="J224" s="449" t="s">
        <v>462</v>
      </c>
      <c r="K224" s="449"/>
    </row>
    <row r="225" spans="1:20">
      <c r="B225" s="367"/>
      <c r="C225" s="367"/>
      <c r="D225" s="2"/>
      <c r="E225" s="367"/>
      <c r="F225" s="367"/>
      <c r="G225" s="367"/>
      <c r="H225" s="3"/>
      <c r="I225" s="3"/>
      <c r="J225" s="361"/>
      <c r="K225" s="361"/>
    </row>
    <row r="226" spans="1:20">
      <c r="B226" s="367" t="s">
        <v>0</v>
      </c>
      <c r="C226" s="367"/>
      <c r="D226" s="2" t="s">
        <v>1</v>
      </c>
      <c r="E226" s="367"/>
      <c r="F226" s="367"/>
      <c r="G226" s="449" t="str">
        <f>K7</f>
        <v>Estimated - For the 12 months ended 12/31/17</v>
      </c>
      <c r="H226" s="449"/>
      <c r="I226" s="449"/>
      <c r="J226" s="449"/>
      <c r="K226" s="449"/>
    </row>
    <row r="227" spans="1:20">
      <c r="B227" s="367"/>
      <c r="C227" s="11" t="s">
        <v>2</v>
      </c>
      <c r="D227" s="11" t="s">
        <v>3</v>
      </c>
      <c r="E227" s="11"/>
      <c r="F227" s="11"/>
      <c r="G227" s="11"/>
      <c r="H227" s="3"/>
      <c r="I227" s="3"/>
      <c r="J227" s="6"/>
      <c r="K227" s="9"/>
    </row>
    <row r="228" spans="1:20" ht="9" customHeight="1">
      <c r="A228" s="4"/>
      <c r="J228" s="11"/>
      <c r="K228" s="15"/>
    </row>
    <row r="229" spans="1:20">
      <c r="A229" s="4"/>
      <c r="D229" s="1" t="str">
        <f>D10</f>
        <v>MidAmerican Energy Company</v>
      </c>
      <c r="J229" s="11"/>
      <c r="K229" s="15"/>
    </row>
    <row r="230" spans="1:20">
      <c r="A230" s="4"/>
      <c r="C230" s="40" t="s">
        <v>76</v>
      </c>
      <c r="E230" s="6"/>
      <c r="F230" s="6"/>
      <c r="G230" s="6"/>
      <c r="H230" s="6"/>
      <c r="I230" s="6"/>
      <c r="J230" s="11"/>
      <c r="K230" s="15"/>
    </row>
    <row r="231" spans="1:20">
      <c r="A231" s="4" t="s">
        <v>4</v>
      </c>
      <c r="B231" s="40"/>
      <c r="C231" s="6"/>
      <c r="D231" s="6"/>
      <c r="E231" s="6"/>
      <c r="F231" s="6"/>
      <c r="G231" s="6"/>
      <c r="H231" s="6"/>
      <c r="I231" s="6"/>
      <c r="J231" s="11"/>
      <c r="K231" s="15"/>
    </row>
    <row r="232" spans="1:20" ht="16.2" thickBot="1">
      <c r="A232" s="13" t="s">
        <v>6</v>
      </c>
      <c r="B232" s="62" t="s">
        <v>79</v>
      </c>
      <c r="C232" s="9"/>
      <c r="D232" s="9"/>
      <c r="E232" s="9"/>
      <c r="F232" s="9"/>
      <c r="G232" s="9"/>
      <c r="H232" s="7"/>
      <c r="I232" s="7"/>
      <c r="J232" s="15"/>
      <c r="K232" s="15"/>
    </row>
    <row r="233" spans="1:20">
      <c r="A233" s="4">
        <v>1</v>
      </c>
      <c r="B233" s="22" t="s">
        <v>242</v>
      </c>
      <c r="C233" s="9"/>
      <c r="D233" s="15"/>
      <c r="E233" s="15"/>
      <c r="F233" s="15"/>
      <c r="G233" s="15"/>
      <c r="H233" s="15"/>
      <c r="I233" s="15">
        <f>D90</f>
        <v>1758082964.3961537</v>
      </c>
      <c r="J233" s="15"/>
      <c r="K233" s="15"/>
    </row>
    <row r="234" spans="1:20">
      <c r="A234" s="4">
        <v>2</v>
      </c>
      <c r="B234" s="22" t="s">
        <v>241</v>
      </c>
      <c r="C234" s="7"/>
      <c r="D234" s="118"/>
      <c r="E234" s="7"/>
      <c r="F234" s="7"/>
      <c r="G234" s="7"/>
      <c r="H234" s="7"/>
      <c r="I234" s="19">
        <v>0</v>
      </c>
      <c r="J234" s="15"/>
      <c r="K234" s="15"/>
    </row>
    <row r="235" spans="1:20" ht="16.2" thickBot="1">
      <c r="A235" s="4">
        <v>3</v>
      </c>
      <c r="B235" s="63" t="s">
        <v>243</v>
      </c>
      <c r="C235" s="64"/>
      <c r="D235" s="111"/>
      <c r="E235" s="15"/>
      <c r="F235" s="15"/>
      <c r="G235" s="65"/>
      <c r="H235" s="15"/>
      <c r="I235" s="42">
        <v>0</v>
      </c>
      <c r="J235" s="15"/>
      <c r="K235" s="15"/>
    </row>
    <row r="236" spans="1:20">
      <c r="A236" s="4">
        <v>4</v>
      </c>
      <c r="B236" s="22" t="s">
        <v>187</v>
      </c>
      <c r="C236" s="9"/>
      <c r="D236" s="111"/>
      <c r="E236" s="15"/>
      <c r="F236" s="15"/>
      <c r="G236" s="65"/>
      <c r="H236" s="15"/>
      <c r="I236" s="15">
        <f>I233-I234-I235</f>
        <v>1758082964.3961537</v>
      </c>
      <c r="J236" s="15"/>
      <c r="K236" s="15"/>
    </row>
    <row r="237" spans="1:20" ht="9" customHeight="1">
      <c r="A237" s="4"/>
      <c r="B237" s="7"/>
      <c r="C237" s="9"/>
      <c r="D237" s="111"/>
      <c r="E237" s="15"/>
      <c r="F237" s="15"/>
      <c r="G237" s="65"/>
      <c r="H237" s="15"/>
      <c r="I237" s="7"/>
      <c r="J237" s="15"/>
      <c r="K237" s="15"/>
      <c r="N237" s="118"/>
      <c r="O237" s="118"/>
      <c r="P237" s="118"/>
      <c r="Q237" s="118"/>
      <c r="R237" s="118"/>
      <c r="S237" s="118"/>
      <c r="T237" s="118"/>
    </row>
    <row r="238" spans="1:20">
      <c r="A238" s="4">
        <v>5</v>
      </c>
      <c r="B238" s="22" t="s">
        <v>244</v>
      </c>
      <c r="C238" s="66"/>
      <c r="D238" s="119"/>
      <c r="E238" s="67"/>
      <c r="F238" s="67"/>
      <c r="G238" s="68"/>
      <c r="H238" s="15" t="s">
        <v>80</v>
      </c>
      <c r="I238" s="45">
        <f>IF(I233&gt;0,I236/I233,0)</f>
        <v>1</v>
      </c>
      <c r="J238" s="15"/>
      <c r="K238" s="15"/>
      <c r="N238" s="368"/>
      <c r="O238" s="368"/>
      <c r="P238" s="368"/>
      <c r="Q238" s="118"/>
      <c r="R238" s="118"/>
      <c r="S238" s="118"/>
      <c r="T238" s="118"/>
    </row>
    <row r="239" spans="1:20" ht="9" customHeight="1">
      <c r="A239" s="4"/>
      <c r="B239" s="7"/>
      <c r="C239" s="7"/>
      <c r="D239" s="118"/>
      <c r="E239" s="7"/>
      <c r="F239" s="7"/>
      <c r="G239" s="7"/>
      <c r="H239" s="7"/>
      <c r="I239" s="7"/>
      <c r="J239" s="15"/>
      <c r="K239" s="15"/>
      <c r="N239" s="369"/>
      <c r="O239" s="370"/>
      <c r="P239" s="371"/>
      <c r="Q239" s="369"/>
      <c r="R239" s="370"/>
      <c r="S239" s="370"/>
      <c r="T239" s="118"/>
    </row>
    <row r="240" spans="1:20">
      <c r="A240" s="4"/>
      <c r="B240" s="364" t="s">
        <v>77</v>
      </c>
      <c r="C240" s="7"/>
      <c r="D240" s="118"/>
      <c r="E240" s="7"/>
      <c r="F240" s="7"/>
      <c r="G240" s="7"/>
      <c r="H240" s="7"/>
      <c r="I240" s="7"/>
      <c r="J240" s="15"/>
      <c r="K240" s="15"/>
      <c r="N240" s="455"/>
      <c r="O240" s="456"/>
      <c r="P240" s="456"/>
      <c r="Q240" s="456"/>
      <c r="R240" s="456"/>
      <c r="S240" s="456"/>
      <c r="T240" s="118"/>
    </row>
    <row r="241" spans="1:20">
      <c r="A241" s="4">
        <v>6</v>
      </c>
      <c r="B241" s="7" t="s">
        <v>245</v>
      </c>
      <c r="C241" s="7"/>
      <c r="D241" s="120"/>
      <c r="E241" s="9"/>
      <c r="F241" s="9"/>
      <c r="G241" s="8"/>
      <c r="H241" s="9"/>
      <c r="I241" s="15">
        <f>D162</f>
        <v>77729929</v>
      </c>
      <c r="J241" s="15"/>
      <c r="K241" s="15"/>
      <c r="N241" s="354"/>
      <c r="O241" s="370"/>
      <c r="P241" s="371"/>
      <c r="Q241" s="369"/>
      <c r="R241" s="370"/>
      <c r="S241" s="370"/>
      <c r="T241" s="118"/>
    </row>
    <row r="242" spans="1:20" ht="16.2" thickBot="1">
      <c r="A242" s="4">
        <v>7</v>
      </c>
      <c r="B242" s="63" t="s">
        <v>246</v>
      </c>
      <c r="C242" s="64"/>
      <c r="D242" s="111"/>
      <c r="E242" s="111"/>
      <c r="F242" s="15"/>
      <c r="G242" s="15"/>
      <c r="H242" s="15"/>
      <c r="I242" s="42">
        <f>'Acct 561'!C9+'Acct 561'!C11+'Acct 561'!C13</f>
        <v>1534048</v>
      </c>
      <c r="J242" s="15"/>
      <c r="K242" s="15"/>
      <c r="N242" s="372"/>
      <c r="O242" s="373"/>
      <c r="P242" s="371"/>
      <c r="Q242" s="369"/>
      <c r="R242" s="370"/>
      <c r="S242" s="370"/>
      <c r="T242" s="118"/>
    </row>
    <row r="243" spans="1:20">
      <c r="A243" s="4">
        <v>8</v>
      </c>
      <c r="B243" s="22" t="s">
        <v>247</v>
      </c>
      <c r="C243" s="66"/>
      <c r="D243" s="119"/>
      <c r="E243" s="67"/>
      <c r="F243" s="67"/>
      <c r="G243" s="68"/>
      <c r="H243" s="67"/>
      <c r="I243" s="15">
        <f>+I241-I242</f>
        <v>76195881</v>
      </c>
      <c r="J243" s="7"/>
      <c r="N243" s="374"/>
      <c r="O243" s="375"/>
      <c r="P243" s="376"/>
      <c r="Q243" s="376"/>
      <c r="R243" s="354"/>
      <c r="S243" s="354"/>
      <c r="T243" s="118"/>
    </row>
    <row r="244" spans="1:20">
      <c r="A244" s="4"/>
      <c r="B244" s="22"/>
      <c r="C244" s="9"/>
      <c r="D244" s="111"/>
      <c r="E244" s="15"/>
      <c r="F244" s="15"/>
      <c r="G244" s="15"/>
      <c r="H244" s="7"/>
      <c r="I244" s="7"/>
      <c r="J244" s="7"/>
      <c r="N244" s="374"/>
      <c r="O244" s="375"/>
      <c r="P244" s="354"/>
      <c r="Q244" s="354"/>
      <c r="R244" s="354"/>
      <c r="S244" s="354"/>
      <c r="T244" s="118"/>
    </row>
    <row r="245" spans="1:20">
      <c r="A245" s="4">
        <v>9</v>
      </c>
      <c r="B245" s="22" t="s">
        <v>248</v>
      </c>
      <c r="C245" s="9"/>
      <c r="D245" s="111"/>
      <c r="E245" s="15"/>
      <c r="F245" s="15"/>
      <c r="G245" s="15"/>
      <c r="H245" s="15"/>
      <c r="I245" s="52">
        <f>IF(I241&gt;0,I243/I241,0)</f>
        <v>0.98026438439175723</v>
      </c>
      <c r="J245" s="7"/>
      <c r="N245" s="369"/>
      <c r="O245" s="377"/>
      <c r="P245" s="378"/>
      <c r="Q245" s="378"/>
      <c r="R245" s="370"/>
      <c r="S245" s="370"/>
      <c r="T245" s="118"/>
    </row>
    <row r="246" spans="1:20">
      <c r="A246" s="4">
        <v>10</v>
      </c>
      <c r="B246" s="22" t="s">
        <v>249</v>
      </c>
      <c r="C246" s="9"/>
      <c r="D246" s="15"/>
      <c r="E246" s="15"/>
      <c r="F246" s="15"/>
      <c r="G246" s="15"/>
      <c r="H246" s="9" t="s">
        <v>11</v>
      </c>
      <c r="I246" s="69">
        <f>I238</f>
        <v>1</v>
      </c>
      <c r="J246" s="7"/>
      <c r="N246" s="372"/>
      <c r="O246" s="378"/>
      <c r="P246" s="354"/>
      <c r="Q246" s="378"/>
      <c r="R246" s="370"/>
      <c r="S246" s="370"/>
      <c r="T246" s="118"/>
    </row>
    <row r="247" spans="1:20">
      <c r="A247" s="4">
        <v>11</v>
      </c>
      <c r="B247" s="22" t="s">
        <v>250</v>
      </c>
      <c r="C247" s="9"/>
      <c r="D247" s="9"/>
      <c r="E247" s="9"/>
      <c r="F247" s="9"/>
      <c r="G247" s="9"/>
      <c r="H247" s="9" t="s">
        <v>78</v>
      </c>
      <c r="I247" s="70">
        <f>+I246*I245</f>
        <v>0.98026438439175723</v>
      </c>
      <c r="J247" s="7"/>
      <c r="N247" s="372"/>
      <c r="O247" s="378"/>
      <c r="P247" s="354"/>
      <c r="Q247" s="378"/>
      <c r="R247" s="370"/>
      <c r="S247" s="370"/>
      <c r="T247" s="118"/>
    </row>
    <row r="248" spans="1:20">
      <c r="A248" s="4"/>
      <c r="C248" s="6"/>
      <c r="D248" s="11"/>
      <c r="E248" s="11"/>
      <c r="F248" s="11"/>
      <c r="G248" s="71"/>
      <c r="H248" s="11"/>
      <c r="N248" s="372"/>
      <c r="O248" s="378"/>
      <c r="P248" s="354"/>
      <c r="Q248" s="379"/>
      <c r="R248" s="370"/>
      <c r="S248" s="370"/>
      <c r="T248" s="118"/>
    </row>
    <row r="249" spans="1:20">
      <c r="A249" s="4" t="s">
        <v>2</v>
      </c>
      <c r="B249" s="362" t="s">
        <v>81</v>
      </c>
      <c r="C249" s="11"/>
      <c r="D249" s="11"/>
      <c r="E249" s="11"/>
      <c r="F249" s="11"/>
      <c r="G249" s="11"/>
      <c r="H249" s="11"/>
      <c r="I249" s="11"/>
      <c r="J249" s="11"/>
      <c r="K249" s="15"/>
      <c r="N249" s="374"/>
      <c r="O249" s="375"/>
      <c r="P249" s="371"/>
      <c r="Q249" s="369"/>
      <c r="R249" s="370"/>
      <c r="S249" s="370"/>
      <c r="T249" s="118"/>
    </row>
    <row r="250" spans="1:20" ht="16.2" thickBot="1">
      <c r="A250" s="4" t="s">
        <v>2</v>
      </c>
      <c r="B250" s="362"/>
      <c r="C250" s="20" t="s">
        <v>82</v>
      </c>
      <c r="D250" s="72" t="s">
        <v>83</v>
      </c>
      <c r="E250" s="72" t="s">
        <v>11</v>
      </c>
      <c r="F250" s="11"/>
      <c r="G250" s="72" t="s">
        <v>84</v>
      </c>
      <c r="H250" s="11"/>
      <c r="I250" s="11"/>
      <c r="J250" s="11"/>
      <c r="K250" s="15"/>
      <c r="N250" s="380"/>
      <c r="O250" s="375"/>
      <c r="P250" s="371"/>
      <c r="Q250" s="369"/>
      <c r="R250" s="370"/>
      <c r="S250" s="370"/>
      <c r="T250" s="118"/>
    </row>
    <row r="251" spans="1:20">
      <c r="A251" s="4">
        <v>12</v>
      </c>
      <c r="B251" s="362" t="s">
        <v>44</v>
      </c>
      <c r="C251" s="11" t="s">
        <v>214</v>
      </c>
      <c r="D251" s="19">
        <f>'Labor Ratios'!C11</f>
        <v>60064784</v>
      </c>
      <c r="E251" s="73">
        <v>0</v>
      </c>
      <c r="F251" s="73"/>
      <c r="G251" s="11">
        <f>D251*E251</f>
        <v>0</v>
      </c>
      <c r="H251" s="11"/>
      <c r="I251" s="11"/>
      <c r="J251" s="11"/>
      <c r="K251" s="15"/>
      <c r="N251" s="118"/>
      <c r="O251" s="118"/>
      <c r="P251" s="118"/>
      <c r="Q251" s="118"/>
      <c r="R251" s="118"/>
      <c r="S251" s="118"/>
      <c r="T251" s="118"/>
    </row>
    <row r="252" spans="1:20">
      <c r="A252" s="4">
        <v>13</v>
      </c>
      <c r="B252" s="362" t="s">
        <v>46</v>
      </c>
      <c r="C252" s="11" t="s">
        <v>215</v>
      </c>
      <c r="D252" s="19">
        <f>'Labor Ratios'!C13</f>
        <v>7489359</v>
      </c>
      <c r="E252" s="73">
        <f>+I238</f>
        <v>1</v>
      </c>
      <c r="F252" s="73"/>
      <c r="G252" s="11">
        <f>D252*E252</f>
        <v>7489359</v>
      </c>
      <c r="H252" s="11"/>
      <c r="I252" s="11"/>
      <c r="J252" s="11"/>
      <c r="K252" s="15"/>
      <c r="N252" s="118"/>
      <c r="O252" s="118"/>
      <c r="P252" s="118"/>
      <c r="Q252" s="118"/>
      <c r="R252" s="118"/>
      <c r="S252" s="118"/>
      <c r="T252" s="118"/>
    </row>
    <row r="253" spans="1:20">
      <c r="A253" s="4">
        <v>14</v>
      </c>
      <c r="B253" s="362" t="s">
        <v>47</v>
      </c>
      <c r="C253" s="11" t="s">
        <v>216</v>
      </c>
      <c r="D253" s="19">
        <f>'Labor Ratios'!C15</f>
        <v>35800871</v>
      </c>
      <c r="E253" s="73">
        <v>0</v>
      </c>
      <c r="F253" s="73"/>
      <c r="G253" s="11">
        <f>D253*E253</f>
        <v>0</v>
      </c>
      <c r="H253" s="11"/>
      <c r="I253" s="74" t="s">
        <v>85</v>
      </c>
      <c r="J253" s="11"/>
      <c r="K253" s="15"/>
    </row>
    <row r="254" spans="1:20" ht="16.2" thickBot="1">
      <c r="A254" s="4">
        <v>15</v>
      </c>
      <c r="B254" s="362" t="s">
        <v>86</v>
      </c>
      <c r="C254" s="11" t="s">
        <v>251</v>
      </c>
      <c r="D254" s="42">
        <f>'Labor Ratios'!C20</f>
        <v>17680621</v>
      </c>
      <c r="E254" s="73">
        <v>0</v>
      </c>
      <c r="F254" s="73"/>
      <c r="G254" s="20">
        <f>D254*E254</f>
        <v>0</v>
      </c>
      <c r="H254" s="11"/>
      <c r="I254" s="13" t="s">
        <v>87</v>
      </c>
      <c r="J254" s="11"/>
      <c r="K254" s="15"/>
    </row>
    <row r="255" spans="1:20">
      <c r="A255" s="4">
        <v>16</v>
      </c>
      <c r="B255" s="362" t="s">
        <v>179</v>
      </c>
      <c r="C255" s="11"/>
      <c r="D255" s="11">
        <f>SUM(D251:D254)</f>
        <v>121035635</v>
      </c>
      <c r="E255" s="11"/>
      <c r="F255" s="11"/>
      <c r="G255" s="11">
        <f>SUM(G251:G254)</f>
        <v>7489359</v>
      </c>
      <c r="H255" s="33" t="s">
        <v>88</v>
      </c>
      <c r="I255" s="41">
        <f>IF(G255&gt;0,G255/D255,0)</f>
        <v>6.1877305803369399E-2</v>
      </c>
      <c r="J255" s="71" t="s">
        <v>88</v>
      </c>
      <c r="K255" s="15" t="s">
        <v>171</v>
      </c>
    </row>
    <row r="256" spans="1:20" ht="9" customHeight="1">
      <c r="A256" s="4"/>
      <c r="B256" s="362"/>
      <c r="C256" s="11"/>
      <c r="D256" s="11"/>
      <c r="E256" s="11"/>
      <c r="F256" s="11"/>
      <c r="G256" s="11"/>
      <c r="H256" s="11"/>
      <c r="I256" s="11"/>
      <c r="J256" s="11"/>
      <c r="K256" s="15"/>
    </row>
    <row r="257" spans="1:11">
      <c r="A257" s="4"/>
      <c r="B257" s="362" t="s">
        <v>252</v>
      </c>
      <c r="C257" s="11"/>
      <c r="D257" s="36" t="s">
        <v>83</v>
      </c>
      <c r="E257" s="11"/>
      <c r="F257" s="11"/>
      <c r="G257" s="71" t="s">
        <v>89</v>
      </c>
      <c r="H257" s="54" t="s">
        <v>2</v>
      </c>
      <c r="I257" s="43" t="str">
        <f>+I253</f>
        <v>W&amp;S Allocator</v>
      </c>
      <c r="J257" s="11"/>
      <c r="K257" s="15"/>
    </row>
    <row r="258" spans="1:11">
      <c r="A258" s="4">
        <v>17</v>
      </c>
      <c r="B258" s="362" t="s">
        <v>90</v>
      </c>
      <c r="C258" s="11" t="s">
        <v>91</v>
      </c>
      <c r="D258" s="19">
        <f>'Plant Balance'!D23+'Plant Balance'!E23+'Plant Balance'!F23</f>
        <v>16059638767.76923</v>
      </c>
      <c r="E258" s="11"/>
      <c r="G258" s="4" t="s">
        <v>92</v>
      </c>
      <c r="H258" s="75"/>
      <c r="I258" s="4" t="s">
        <v>93</v>
      </c>
      <c r="J258" s="11"/>
      <c r="K258" s="8" t="s">
        <v>94</v>
      </c>
    </row>
    <row r="259" spans="1:11">
      <c r="A259" s="4">
        <v>18</v>
      </c>
      <c r="B259" s="362" t="s">
        <v>95</v>
      </c>
      <c r="C259" s="11" t="s">
        <v>192</v>
      </c>
      <c r="D259" s="19">
        <f>'Plant Balance'!H23</f>
        <v>1415883677</v>
      </c>
      <c r="E259" s="11"/>
      <c r="G259" s="17">
        <f>IF(D261&gt;0,D258/D261,0)</f>
        <v>0.91897903587862106</v>
      </c>
      <c r="H259" s="71" t="s">
        <v>96</v>
      </c>
      <c r="I259" s="17">
        <f>I255</f>
        <v>6.1877305803369399E-2</v>
      </c>
      <c r="J259" s="54" t="s">
        <v>88</v>
      </c>
      <c r="K259" s="76">
        <f>I259*G259</f>
        <v>5.6863946829947012E-2</v>
      </c>
    </row>
    <row r="260" spans="1:11" ht="16.2" thickBot="1">
      <c r="A260" s="4">
        <v>19</v>
      </c>
      <c r="B260" s="77" t="s">
        <v>97</v>
      </c>
      <c r="C260" s="20" t="s">
        <v>193</v>
      </c>
      <c r="D260" s="42">
        <v>0</v>
      </c>
      <c r="E260" s="11"/>
      <c r="F260" s="11"/>
      <c r="G260" s="11" t="s">
        <v>2</v>
      </c>
      <c r="H260" s="11"/>
      <c r="I260" s="11"/>
      <c r="J260" s="11"/>
      <c r="K260" s="15"/>
    </row>
    <row r="261" spans="1:11">
      <c r="A261" s="4">
        <v>20</v>
      </c>
      <c r="B261" s="362" t="s">
        <v>150</v>
      </c>
      <c r="C261" s="11"/>
      <c r="D261" s="11">
        <f>D258+D259+D260</f>
        <v>17475522444.76923</v>
      </c>
      <c r="E261" s="11"/>
      <c r="F261" s="11"/>
      <c r="G261" s="11"/>
      <c r="H261" s="11"/>
      <c r="I261" s="11"/>
      <c r="J261" s="11"/>
      <c r="K261" s="15"/>
    </row>
    <row r="262" spans="1:11" ht="9" customHeight="1">
      <c r="A262" s="4"/>
      <c r="B262" s="362"/>
      <c r="C262" s="11"/>
      <c r="E262" s="11"/>
      <c r="F262" s="11"/>
      <c r="G262" s="11"/>
      <c r="H262" s="11"/>
      <c r="I262" s="11"/>
      <c r="J262" s="11"/>
      <c r="K262" s="15"/>
    </row>
    <row r="263" spans="1:11" ht="16.2" thickBot="1">
      <c r="A263" s="4"/>
      <c r="B263" s="367" t="s">
        <v>98</v>
      </c>
      <c r="C263" s="11"/>
      <c r="D263" s="11"/>
      <c r="E263" s="11"/>
      <c r="F263" s="11"/>
      <c r="G263" s="11"/>
      <c r="H263" s="11"/>
      <c r="I263" s="72" t="s">
        <v>83</v>
      </c>
      <c r="J263" s="11"/>
      <c r="K263" s="15"/>
    </row>
    <row r="264" spans="1:11">
      <c r="A264" s="4">
        <v>21</v>
      </c>
      <c r="B264" s="3"/>
      <c r="C264" s="11" t="s">
        <v>196</v>
      </c>
      <c r="D264" s="11"/>
      <c r="E264" s="11"/>
      <c r="F264" s="11"/>
      <c r="G264" s="11"/>
      <c r="H264" s="11"/>
      <c r="I264" s="78">
        <f>'Cost of Debt'!D24</f>
        <v>203235000</v>
      </c>
      <c r="J264" s="11"/>
      <c r="K264" s="15"/>
    </row>
    <row r="265" spans="1:11" ht="9" customHeight="1">
      <c r="A265" s="4"/>
      <c r="B265" s="362"/>
      <c r="C265" s="11"/>
      <c r="D265" s="11"/>
      <c r="E265" s="11"/>
      <c r="F265" s="11"/>
      <c r="G265" s="11"/>
      <c r="H265" s="11"/>
      <c r="I265" s="11"/>
      <c r="J265" s="11"/>
      <c r="K265" s="15"/>
    </row>
    <row r="266" spans="1:11">
      <c r="A266" s="4">
        <v>22</v>
      </c>
      <c r="B266" s="367"/>
      <c r="C266" s="11" t="s">
        <v>99</v>
      </c>
      <c r="D266" s="11"/>
      <c r="E266" s="11"/>
      <c r="F266" s="11"/>
      <c r="G266" s="11"/>
      <c r="H266" s="15"/>
      <c r="I266" s="79">
        <f>'Pref Stock'!C11</f>
        <v>0</v>
      </c>
      <c r="J266" s="11"/>
      <c r="K266" s="15"/>
    </row>
    <row r="267" spans="1:11" ht="9" customHeight="1">
      <c r="A267" s="4"/>
      <c r="B267" s="367"/>
      <c r="C267" s="11"/>
      <c r="D267" s="11"/>
      <c r="E267" s="11"/>
      <c r="F267" s="11"/>
      <c r="G267" s="11"/>
      <c r="H267" s="11"/>
      <c r="I267" s="11"/>
      <c r="J267" s="11"/>
      <c r="K267" s="15"/>
    </row>
    <row r="268" spans="1:11">
      <c r="A268" s="4"/>
      <c r="B268" s="367" t="s">
        <v>100</v>
      </c>
      <c r="C268" s="11"/>
      <c r="D268" s="11"/>
      <c r="E268" s="11"/>
      <c r="F268" s="11"/>
      <c r="G268" s="11"/>
      <c r="H268" s="11"/>
      <c r="I268" s="11"/>
      <c r="J268" s="11"/>
      <c r="K268" s="15"/>
    </row>
    <row r="269" spans="1:11">
      <c r="A269" s="4">
        <v>23</v>
      </c>
      <c r="B269" s="367"/>
      <c r="C269" s="11" t="s">
        <v>197</v>
      </c>
      <c r="D269" s="3"/>
      <c r="E269" s="11"/>
      <c r="F269" s="11"/>
      <c r="G269" s="11"/>
      <c r="H269" s="11"/>
      <c r="I269" s="19">
        <f>'Common Equity'!C23</f>
        <v>5371713001.6153851</v>
      </c>
      <c r="J269" s="11"/>
      <c r="K269" s="15"/>
    </row>
    <row r="270" spans="1:11">
      <c r="A270" s="4">
        <v>24</v>
      </c>
      <c r="B270" s="367"/>
      <c r="C270" s="11" t="s">
        <v>180</v>
      </c>
      <c r="D270" s="11"/>
      <c r="E270" s="11"/>
      <c r="F270" s="11"/>
      <c r="G270" s="11"/>
      <c r="H270" s="11"/>
      <c r="I270" s="80">
        <f>-D276</f>
        <v>0</v>
      </c>
      <c r="J270" s="11"/>
      <c r="K270" s="15"/>
    </row>
    <row r="271" spans="1:11" ht="16.2" thickBot="1">
      <c r="A271" s="4">
        <v>25</v>
      </c>
      <c r="B271" s="367"/>
      <c r="C271" s="11" t="s">
        <v>198</v>
      </c>
      <c r="D271" s="11"/>
      <c r="E271" s="11"/>
      <c r="F271" s="11"/>
      <c r="G271" s="11"/>
      <c r="H271" s="11"/>
      <c r="I271" s="42">
        <f>'Acct 216.1'!C10*(-1)</f>
        <v>0</v>
      </c>
      <c r="J271" s="11"/>
      <c r="K271" s="15"/>
    </row>
    <row r="272" spans="1:11">
      <c r="A272" s="4">
        <v>26</v>
      </c>
      <c r="B272" s="3"/>
      <c r="C272" s="11" t="s">
        <v>101</v>
      </c>
      <c r="D272" s="3" t="s">
        <v>102</v>
      </c>
      <c r="E272" s="3"/>
      <c r="F272" s="3"/>
      <c r="G272" s="3"/>
      <c r="H272" s="3"/>
      <c r="I272" s="11">
        <f>+I269+I270+I271</f>
        <v>5371713001.6153851</v>
      </c>
      <c r="J272" s="11"/>
      <c r="K272" s="15"/>
    </row>
    <row r="273" spans="1:11">
      <c r="A273" s="4"/>
      <c r="B273" s="362"/>
      <c r="C273" s="11"/>
      <c r="D273" s="11"/>
      <c r="E273" s="11"/>
      <c r="F273" s="11"/>
      <c r="G273" s="71" t="s">
        <v>103</v>
      </c>
      <c r="H273" s="11"/>
      <c r="I273" s="11"/>
      <c r="J273" s="11"/>
      <c r="K273" s="15"/>
    </row>
    <row r="274" spans="1:11" ht="16.2" thickBot="1">
      <c r="A274" s="4"/>
      <c r="B274" s="362"/>
      <c r="C274" s="11"/>
      <c r="D274" s="13" t="s">
        <v>83</v>
      </c>
      <c r="E274" s="13" t="s">
        <v>104</v>
      </c>
      <c r="F274" s="11"/>
      <c r="G274" s="13" t="s">
        <v>105</v>
      </c>
      <c r="H274" s="11"/>
      <c r="I274" s="13" t="s">
        <v>106</v>
      </c>
      <c r="J274" s="11"/>
      <c r="K274" s="15"/>
    </row>
    <row r="275" spans="1:11">
      <c r="A275" s="4">
        <v>27</v>
      </c>
      <c r="B275" s="367" t="s">
        <v>199</v>
      </c>
      <c r="D275" s="19">
        <f>'Cost of Debt'!C23</f>
        <v>4760456289.2307692</v>
      </c>
      <c r="E275" s="81">
        <f>IF($D$278&gt;0,D275/$D$278,0)</f>
        <v>0.46983584191902267</v>
      </c>
      <c r="F275" s="82"/>
      <c r="G275" s="82">
        <f>IF(D275&gt;0,I264/D275,0)</f>
        <v>4.2692336123275332E-2</v>
      </c>
      <c r="I275" s="82">
        <f>G275*E275</f>
        <v>2.0058389685968969E-2</v>
      </c>
      <c r="J275" s="83" t="s">
        <v>107</v>
      </c>
    </row>
    <row r="276" spans="1:11">
      <c r="A276" s="4">
        <v>28</v>
      </c>
      <c r="B276" s="367" t="s">
        <v>253</v>
      </c>
      <c r="D276" s="19">
        <v>0</v>
      </c>
      <c r="E276" s="81">
        <f>IF($D$278&gt;0,D276/$D$278,0)</f>
        <v>0</v>
      </c>
      <c r="F276" s="82"/>
      <c r="G276" s="82">
        <f>IF(D276&gt;0,I266/D276,0)</f>
        <v>0</v>
      </c>
      <c r="I276" s="82">
        <f>G276*E276</f>
        <v>0</v>
      </c>
      <c r="J276" s="11"/>
    </row>
    <row r="277" spans="1:11" ht="16.2" thickBot="1">
      <c r="A277" s="4">
        <v>29</v>
      </c>
      <c r="B277" s="367" t="s">
        <v>108</v>
      </c>
      <c r="D277" s="20">
        <f>I272</f>
        <v>5371713001.6153851</v>
      </c>
      <c r="E277" s="81">
        <f>IF($D$278&gt;0,D277/$D$278,0)</f>
        <v>0.53016415808097739</v>
      </c>
      <c r="F277" s="82"/>
      <c r="G277" s="84">
        <v>9.2499999999999999E-2</v>
      </c>
      <c r="I277" s="85">
        <f>G277*E277</f>
        <v>4.9040184622490407E-2</v>
      </c>
      <c r="J277" s="11"/>
    </row>
    <row r="278" spans="1:11">
      <c r="A278" s="4">
        <v>30</v>
      </c>
      <c r="B278" s="362" t="s">
        <v>175</v>
      </c>
      <c r="D278" s="11">
        <f>D277+D276+D275</f>
        <v>10132169290.846153</v>
      </c>
      <c r="E278" s="11" t="s">
        <v>2</v>
      </c>
      <c r="F278" s="11"/>
      <c r="G278" s="11"/>
      <c r="H278" s="11"/>
      <c r="I278" s="82">
        <f>SUM(I275:I277)</f>
        <v>6.9098574308459379E-2</v>
      </c>
      <c r="J278" s="83" t="s">
        <v>109</v>
      </c>
    </row>
    <row r="279" spans="1:11" ht="9" customHeight="1">
      <c r="E279" s="11"/>
      <c r="F279" s="11"/>
      <c r="G279" s="11"/>
      <c r="H279" s="11"/>
    </row>
    <row r="280" spans="1:11">
      <c r="A280" s="4"/>
      <c r="B280" s="367" t="s">
        <v>110</v>
      </c>
      <c r="C280" s="3"/>
      <c r="D280" s="3"/>
      <c r="E280" s="3"/>
      <c r="F280" s="3"/>
      <c r="G280" s="3"/>
      <c r="H280" s="3"/>
      <c r="I280" s="3"/>
      <c r="J280" s="3"/>
      <c r="K280" s="22"/>
    </row>
    <row r="281" spans="1:11" ht="9" customHeight="1">
      <c r="A281" s="4"/>
      <c r="B281" s="367"/>
      <c r="C281" s="367"/>
      <c r="D281" s="367"/>
      <c r="E281" s="367"/>
      <c r="F281" s="367"/>
      <c r="G281" s="367"/>
      <c r="H281" s="367"/>
      <c r="J281" s="86"/>
    </row>
    <row r="282" spans="1:11" ht="16.2" thickBot="1">
      <c r="A282" s="4"/>
      <c r="B282" s="367" t="s">
        <v>111</v>
      </c>
      <c r="C282" s="3"/>
      <c r="D282" s="3" t="s">
        <v>112</v>
      </c>
      <c r="E282" s="3" t="s">
        <v>113</v>
      </c>
      <c r="F282" s="3"/>
      <c r="G282" s="87" t="s">
        <v>2</v>
      </c>
      <c r="H282" s="88"/>
      <c r="I282" s="13" t="s">
        <v>151</v>
      </c>
      <c r="J282" s="89"/>
    </row>
    <row r="283" spans="1:11">
      <c r="A283" s="4">
        <v>31</v>
      </c>
      <c r="B283" s="1" t="s">
        <v>141</v>
      </c>
      <c r="C283" s="3"/>
      <c r="D283" s="3"/>
      <c r="F283" s="3"/>
      <c r="H283" s="88"/>
      <c r="I283" s="90">
        <v>0</v>
      </c>
      <c r="J283" s="91"/>
    </row>
    <row r="284" spans="1:11" ht="16.2" thickBot="1">
      <c r="A284" s="4">
        <v>32</v>
      </c>
      <c r="B284" s="47" t="s">
        <v>177</v>
      </c>
      <c r="C284" s="92"/>
      <c r="D284" s="121"/>
      <c r="E284" s="112"/>
      <c r="F284" s="112"/>
      <c r="G284" s="112"/>
      <c r="H284" s="3"/>
      <c r="I284" s="93">
        <v>0</v>
      </c>
      <c r="J284" s="94"/>
    </row>
    <row r="285" spans="1:11">
      <c r="A285" s="4">
        <v>33</v>
      </c>
      <c r="B285" s="1" t="s">
        <v>114</v>
      </c>
      <c r="C285" s="6"/>
      <c r="E285" s="3"/>
      <c r="F285" s="3"/>
      <c r="G285" s="3"/>
      <c r="H285" s="3"/>
      <c r="I285" s="95">
        <f>+I283-I284</f>
        <v>0</v>
      </c>
      <c r="J285" s="91"/>
    </row>
    <row r="286" spans="1:11" ht="9" customHeight="1">
      <c r="A286" s="4"/>
      <c r="B286" s="1" t="s">
        <v>2</v>
      </c>
      <c r="C286" s="6"/>
      <c r="E286" s="3"/>
      <c r="F286" s="3"/>
      <c r="G286" s="32"/>
      <c r="H286" s="3"/>
      <c r="I286" s="96" t="s">
        <v>2</v>
      </c>
      <c r="J286" s="89"/>
      <c r="K286" s="97"/>
    </row>
    <row r="287" spans="1:11">
      <c r="A287" s="4">
        <v>34</v>
      </c>
      <c r="B287" s="367" t="s">
        <v>254</v>
      </c>
      <c r="C287" s="6"/>
      <c r="E287" s="3"/>
      <c r="F287" s="3"/>
      <c r="G287" s="98"/>
      <c r="H287" s="3"/>
      <c r="I287" s="99">
        <f>'454 rents'!P12</f>
        <v>222088.5</v>
      </c>
      <c r="J287" s="89"/>
      <c r="K287" s="97"/>
    </row>
    <row r="288" spans="1:11" ht="9" customHeight="1">
      <c r="A288" s="4"/>
      <c r="C288" s="3"/>
      <c r="D288" s="3"/>
      <c r="E288" s="3"/>
      <c r="F288" s="3"/>
      <c r="G288" s="3"/>
      <c r="H288" s="3"/>
      <c r="I288" s="96"/>
      <c r="J288" s="89"/>
      <c r="K288" s="97"/>
    </row>
    <row r="289" spans="1:11">
      <c r="B289" s="367" t="s">
        <v>255</v>
      </c>
      <c r="C289" s="3"/>
      <c r="D289" s="3" t="s">
        <v>194</v>
      </c>
      <c r="E289" s="3"/>
      <c r="F289" s="3"/>
      <c r="G289" s="3"/>
      <c r="H289" s="3"/>
      <c r="K289" s="100"/>
    </row>
    <row r="290" spans="1:11">
      <c r="A290" s="4">
        <v>35</v>
      </c>
      <c r="B290" s="367" t="s">
        <v>115</v>
      </c>
      <c r="C290" s="11"/>
      <c r="D290" s="11"/>
      <c r="E290" s="11"/>
      <c r="F290" s="11"/>
      <c r="G290" s="11"/>
      <c r="H290" s="11"/>
      <c r="I290" s="101">
        <f>'trans for others'!K7</f>
        <v>86347827</v>
      </c>
      <c r="J290" s="102"/>
      <c r="K290" s="100"/>
    </row>
    <row r="291" spans="1:11">
      <c r="A291" s="4">
        <v>36</v>
      </c>
      <c r="B291" s="113" t="s">
        <v>176</v>
      </c>
      <c r="C291" s="112"/>
      <c r="D291" s="112"/>
      <c r="E291" s="112"/>
      <c r="F291" s="112"/>
      <c r="G291" s="112"/>
      <c r="H291" s="3"/>
      <c r="I291" s="101">
        <f>'trans for others'!J34</f>
        <v>1770907</v>
      </c>
      <c r="K291" s="103"/>
    </row>
    <row r="292" spans="1:11">
      <c r="A292" s="108" t="s">
        <v>218</v>
      </c>
      <c r="B292" s="256" t="s">
        <v>610</v>
      </c>
      <c r="C292" s="257"/>
      <c r="D292" s="112"/>
      <c r="E292" s="112"/>
      <c r="F292" s="112"/>
      <c r="G292" s="112"/>
      <c r="H292" s="3"/>
      <c r="I292" s="101">
        <f>'trans for others'!K38</f>
        <v>226274</v>
      </c>
      <c r="K292" s="103"/>
    </row>
    <row r="293" spans="1:11" ht="16.2" thickBot="1">
      <c r="A293" s="108" t="s">
        <v>494</v>
      </c>
      <c r="B293" s="128" t="s">
        <v>611</v>
      </c>
      <c r="C293" s="63"/>
      <c r="D293" s="112"/>
      <c r="E293" s="112"/>
      <c r="F293" s="112"/>
      <c r="G293" s="112"/>
      <c r="H293" s="3"/>
      <c r="I293" s="127">
        <f>'trans for others'!K40</f>
        <v>63429167</v>
      </c>
      <c r="K293" s="103"/>
    </row>
    <row r="294" spans="1:11">
      <c r="A294" s="4">
        <v>37</v>
      </c>
      <c r="B294" s="104" t="s">
        <v>495</v>
      </c>
      <c r="C294" s="4"/>
      <c r="D294" s="11"/>
      <c r="E294" s="11"/>
      <c r="F294" s="11"/>
      <c r="G294" s="11"/>
      <c r="H294" s="3"/>
      <c r="I294" s="105">
        <f>+I290-I291-I292-I293</f>
        <v>20921479</v>
      </c>
      <c r="J294" s="102"/>
      <c r="K294" s="106"/>
    </row>
    <row r="295" spans="1:11">
      <c r="A295" s="4"/>
      <c r="B295" s="104"/>
      <c r="C295" s="4"/>
      <c r="D295" s="11"/>
      <c r="E295" s="11"/>
      <c r="F295" s="11"/>
      <c r="G295" s="11"/>
      <c r="H295" s="3"/>
      <c r="I295" s="105"/>
      <c r="J295" s="102"/>
      <c r="K295" s="106"/>
    </row>
    <row r="296" spans="1:11">
      <c r="A296" s="4"/>
      <c r="B296" s="104"/>
      <c r="C296" s="4"/>
      <c r="D296" s="11"/>
      <c r="E296" s="11"/>
      <c r="F296" s="11"/>
      <c r="G296" s="11"/>
      <c r="H296" s="3"/>
      <c r="I296" s="105"/>
      <c r="J296" s="102"/>
      <c r="K296" s="106"/>
    </row>
    <row r="297" spans="1:11">
      <c r="A297" s="4"/>
      <c r="B297" s="104"/>
      <c r="C297" s="4"/>
      <c r="D297" s="11"/>
      <c r="E297" s="11"/>
      <c r="F297" s="11"/>
      <c r="G297" s="11"/>
      <c r="H297" s="3"/>
      <c r="I297" s="105"/>
      <c r="J297" s="102"/>
      <c r="K297" s="106"/>
    </row>
    <row r="298" spans="1:11">
      <c r="A298" s="457"/>
      <c r="B298" s="457"/>
      <c r="C298" s="457"/>
      <c r="D298" s="11"/>
      <c r="E298" s="11"/>
      <c r="F298" s="43"/>
      <c r="G298" s="435"/>
      <c r="H298" s="435"/>
      <c r="I298" s="435"/>
      <c r="J298" s="435"/>
      <c r="K298" s="435"/>
    </row>
    <row r="299" spans="1:11">
      <c r="B299" s="367"/>
      <c r="C299" s="367"/>
      <c r="D299" s="2"/>
      <c r="E299" s="367"/>
      <c r="F299" s="367"/>
      <c r="G299" s="447" t="s">
        <v>723</v>
      </c>
      <c r="H299" s="453"/>
      <c r="I299" s="453"/>
      <c r="J299" s="453"/>
      <c r="K299" s="453"/>
    </row>
    <row r="300" spans="1:11">
      <c r="B300" s="367"/>
      <c r="C300" s="367"/>
      <c r="D300" s="2"/>
      <c r="E300" s="367"/>
      <c r="F300" s="367"/>
      <c r="G300" s="436"/>
      <c r="H300" s="436"/>
      <c r="I300" s="436"/>
      <c r="J300" s="436"/>
      <c r="K300" s="436"/>
    </row>
    <row r="301" spans="1:11">
      <c r="B301" s="367"/>
      <c r="C301" s="367"/>
      <c r="D301" s="2"/>
      <c r="E301" s="367"/>
      <c r="F301" s="367"/>
      <c r="G301" s="367"/>
      <c r="H301" s="3"/>
      <c r="I301" s="448" t="s">
        <v>608</v>
      </c>
      <c r="J301" s="448"/>
      <c r="K301" s="448"/>
    </row>
    <row r="302" spans="1:11">
      <c r="B302" s="367"/>
      <c r="C302" s="367"/>
      <c r="D302" s="2"/>
      <c r="E302" s="367"/>
      <c r="F302" s="367"/>
      <c r="G302" s="367"/>
      <c r="H302" s="3"/>
      <c r="I302" s="3"/>
      <c r="J302" s="449" t="s">
        <v>463</v>
      </c>
      <c r="K302" s="449"/>
    </row>
    <row r="303" spans="1:11">
      <c r="B303" s="367"/>
      <c r="C303" s="367"/>
      <c r="D303" s="2"/>
      <c r="E303" s="367"/>
      <c r="F303" s="367"/>
      <c r="G303" s="367"/>
      <c r="H303" s="3"/>
      <c r="I303" s="3"/>
      <c r="J303" s="6"/>
      <c r="K303" s="361"/>
    </row>
    <row r="304" spans="1:11">
      <c r="B304" s="367" t="s">
        <v>0</v>
      </c>
      <c r="C304" s="367"/>
      <c r="D304" s="2" t="s">
        <v>1</v>
      </c>
      <c r="E304" s="367"/>
      <c r="F304" s="367"/>
      <c r="G304" s="367"/>
      <c r="H304" s="3"/>
      <c r="I304" s="3"/>
      <c r="J304" s="6"/>
      <c r="K304" s="361" t="str">
        <f>K7</f>
        <v>Estimated - For the 12 months ended 12/31/17</v>
      </c>
    </row>
    <row r="305" spans="1:11">
      <c r="B305" s="367"/>
      <c r="C305" s="11" t="s">
        <v>2</v>
      </c>
      <c r="D305" s="11" t="s">
        <v>3</v>
      </c>
      <c r="E305" s="11"/>
      <c r="F305" s="11"/>
      <c r="G305" s="11"/>
      <c r="H305" s="3"/>
      <c r="I305" s="3"/>
      <c r="J305" s="6"/>
      <c r="K305" s="9"/>
    </row>
    <row r="306" spans="1:11">
      <c r="A306" s="4"/>
      <c r="B306" s="104"/>
      <c r="C306" s="4"/>
      <c r="D306" s="11"/>
      <c r="E306" s="11"/>
      <c r="F306" s="11"/>
      <c r="G306" s="11"/>
      <c r="H306" s="3"/>
      <c r="I306" s="107"/>
      <c r="J306" s="89"/>
      <c r="K306" s="106"/>
    </row>
    <row r="307" spans="1:11">
      <c r="A307" s="4"/>
      <c r="B307" s="104"/>
      <c r="C307" s="4"/>
      <c r="D307" s="11" t="str">
        <f>D10</f>
        <v>MidAmerican Energy Company</v>
      </c>
      <c r="E307" s="11"/>
      <c r="F307" s="11"/>
      <c r="G307" s="11"/>
      <c r="H307" s="3"/>
      <c r="I307" s="107"/>
      <c r="J307" s="89"/>
      <c r="K307" s="106"/>
    </row>
    <row r="308" spans="1:11">
      <c r="A308" s="4"/>
      <c r="B308" s="104"/>
      <c r="C308" s="4"/>
      <c r="D308" s="11"/>
      <c r="E308" s="11"/>
      <c r="F308" s="11"/>
      <c r="G308" s="11"/>
      <c r="H308" s="3"/>
      <c r="I308" s="107"/>
      <c r="J308" s="89"/>
      <c r="K308" s="106"/>
    </row>
    <row r="309" spans="1:11">
      <c r="A309" s="4"/>
      <c r="B309" s="367" t="s">
        <v>226</v>
      </c>
      <c r="C309" s="4"/>
      <c r="D309" s="11"/>
      <c r="E309" s="11"/>
      <c r="F309" s="11"/>
      <c r="G309" s="11"/>
      <c r="H309" s="3"/>
      <c r="I309" s="11"/>
      <c r="J309" s="3"/>
      <c r="K309" s="15"/>
    </row>
    <row r="310" spans="1:11">
      <c r="A310" s="4"/>
      <c r="B310" s="116" t="s">
        <v>225</v>
      </c>
      <c r="C310" s="4"/>
      <c r="D310" s="11"/>
      <c r="E310" s="11"/>
      <c r="F310" s="11"/>
      <c r="G310" s="11"/>
      <c r="H310" s="3"/>
      <c r="I310" s="11"/>
      <c r="J310" s="3"/>
      <c r="K310" s="15"/>
    </row>
    <row r="311" spans="1:11">
      <c r="A311" s="4" t="s">
        <v>116</v>
      </c>
      <c r="B311" s="367"/>
      <c r="C311" s="3"/>
      <c r="D311" s="11"/>
      <c r="E311" s="11"/>
      <c r="F311" s="11"/>
      <c r="G311" s="11"/>
      <c r="H311" s="3"/>
      <c r="I311" s="11"/>
      <c r="J311" s="3"/>
      <c r="K311" s="15"/>
    </row>
    <row r="312" spans="1:11" ht="16.2" thickBot="1">
      <c r="A312" s="13" t="s">
        <v>117</v>
      </c>
      <c r="B312" s="367"/>
      <c r="C312" s="3"/>
      <c r="D312" s="11"/>
      <c r="E312" s="11"/>
      <c r="F312" s="11"/>
      <c r="G312" s="11"/>
      <c r="H312" s="3"/>
      <c r="I312" s="11"/>
      <c r="J312" s="3"/>
      <c r="K312" s="15"/>
    </row>
    <row r="313" spans="1:11">
      <c r="A313" s="122" t="s">
        <v>118</v>
      </c>
      <c r="B313" s="454" t="s">
        <v>277</v>
      </c>
      <c r="C313" s="454"/>
      <c r="D313" s="454"/>
      <c r="E313" s="454"/>
      <c r="F313" s="454"/>
      <c r="G313" s="454"/>
      <c r="H313" s="454"/>
      <c r="I313" s="454"/>
      <c r="J313" s="454"/>
      <c r="K313" s="454"/>
    </row>
    <row r="314" spans="1:11">
      <c r="A314" s="122" t="s">
        <v>119</v>
      </c>
      <c r="B314" s="454" t="s">
        <v>278</v>
      </c>
      <c r="C314" s="454"/>
      <c r="D314" s="454"/>
      <c r="E314" s="454"/>
      <c r="F314" s="454"/>
      <c r="G314" s="454"/>
      <c r="H314" s="454"/>
      <c r="I314" s="454"/>
      <c r="J314" s="454"/>
      <c r="K314" s="454"/>
    </row>
    <row r="315" spans="1:11">
      <c r="A315" s="122" t="s">
        <v>120</v>
      </c>
      <c r="B315" s="454" t="s">
        <v>279</v>
      </c>
      <c r="C315" s="454"/>
      <c r="D315" s="454"/>
      <c r="E315" s="454"/>
      <c r="F315" s="454"/>
      <c r="G315" s="454"/>
      <c r="H315" s="454"/>
      <c r="I315" s="454"/>
      <c r="J315" s="454"/>
      <c r="K315" s="454"/>
    </row>
    <row r="316" spans="1:11">
      <c r="A316" s="122" t="s">
        <v>121</v>
      </c>
      <c r="B316" s="454" t="s">
        <v>279</v>
      </c>
      <c r="C316" s="454"/>
      <c r="D316" s="454"/>
      <c r="E316" s="454"/>
      <c r="F316" s="454"/>
      <c r="G316" s="454"/>
      <c r="H316" s="454"/>
      <c r="I316" s="454"/>
      <c r="J316" s="454"/>
      <c r="K316" s="454"/>
    </row>
    <row r="317" spans="1:11">
      <c r="A317" s="122" t="s">
        <v>122</v>
      </c>
      <c r="B317" s="454" t="s">
        <v>183</v>
      </c>
      <c r="C317" s="454"/>
      <c r="D317" s="454"/>
      <c r="E317" s="454"/>
      <c r="F317" s="454"/>
      <c r="G317" s="454"/>
      <c r="H317" s="454"/>
      <c r="I317" s="454"/>
      <c r="J317" s="454"/>
      <c r="K317" s="454"/>
    </row>
    <row r="318" spans="1:11" ht="82.5" customHeight="1">
      <c r="A318" s="122" t="s">
        <v>123</v>
      </c>
      <c r="B318" s="458" t="s">
        <v>690</v>
      </c>
      <c r="C318" s="458"/>
      <c r="D318" s="458"/>
      <c r="E318" s="458"/>
      <c r="F318" s="458"/>
      <c r="G318" s="458"/>
      <c r="H318" s="458"/>
      <c r="I318" s="458"/>
      <c r="J318" s="458"/>
      <c r="K318" s="458"/>
    </row>
    <row r="319" spans="1:11">
      <c r="A319" s="122" t="s">
        <v>124</v>
      </c>
      <c r="B319" s="454" t="s">
        <v>125</v>
      </c>
      <c r="C319" s="454"/>
      <c r="D319" s="454"/>
      <c r="E319" s="454"/>
      <c r="F319" s="454"/>
      <c r="G319" s="454"/>
      <c r="H319" s="454"/>
      <c r="I319" s="454"/>
      <c r="J319" s="454"/>
      <c r="K319" s="454"/>
    </row>
    <row r="320" spans="1:11" ht="32.25" customHeight="1">
      <c r="A320" s="122" t="s">
        <v>126</v>
      </c>
      <c r="B320" s="454" t="s">
        <v>264</v>
      </c>
      <c r="C320" s="454"/>
      <c r="D320" s="454"/>
      <c r="E320" s="454"/>
      <c r="F320" s="454"/>
      <c r="G320" s="454"/>
      <c r="H320" s="454"/>
      <c r="I320" s="454"/>
      <c r="J320" s="454"/>
      <c r="K320" s="454"/>
    </row>
    <row r="321" spans="1:11" ht="32.25" customHeight="1">
      <c r="A321" s="122" t="s">
        <v>127</v>
      </c>
      <c r="B321" s="454" t="s">
        <v>265</v>
      </c>
      <c r="C321" s="454"/>
      <c r="D321" s="454"/>
      <c r="E321" s="454"/>
      <c r="F321" s="454"/>
      <c r="G321" s="454"/>
      <c r="H321" s="454"/>
      <c r="I321" s="454"/>
      <c r="J321" s="454"/>
      <c r="K321" s="454"/>
    </row>
    <row r="322" spans="1:11" ht="50.25" customHeight="1">
      <c r="A322" s="122" t="s">
        <v>128</v>
      </c>
      <c r="B322" s="454" t="s">
        <v>503</v>
      </c>
      <c r="C322" s="454"/>
      <c r="D322" s="454"/>
      <c r="E322" s="454"/>
      <c r="F322" s="454"/>
      <c r="G322" s="454"/>
      <c r="H322" s="454"/>
      <c r="I322" s="454"/>
      <c r="J322" s="454"/>
      <c r="K322" s="454"/>
    </row>
    <row r="323" spans="1:11" ht="78.75" customHeight="1">
      <c r="A323" s="122" t="s">
        <v>129</v>
      </c>
      <c r="B323" s="454" t="s">
        <v>266</v>
      </c>
      <c r="C323" s="454"/>
      <c r="D323" s="454"/>
      <c r="E323" s="454"/>
      <c r="F323" s="454"/>
      <c r="G323" s="454"/>
      <c r="H323" s="454"/>
      <c r="I323" s="454"/>
      <c r="J323" s="454"/>
      <c r="K323" s="454"/>
    </row>
    <row r="324" spans="1:11">
      <c r="A324" s="122" t="s">
        <v>2</v>
      </c>
      <c r="B324" s="126" t="s">
        <v>263</v>
      </c>
      <c r="C324" s="366" t="s">
        <v>156</v>
      </c>
      <c r="D324" s="123">
        <f>'footnote k tax'!C8</f>
        <v>0.35</v>
      </c>
      <c r="E324" s="366"/>
      <c r="F324" s="366"/>
      <c r="G324" s="366"/>
      <c r="H324" s="366"/>
      <c r="I324" s="366"/>
      <c r="J324" s="366"/>
      <c r="K324" s="366"/>
    </row>
    <row r="325" spans="1:11">
      <c r="A325" s="122"/>
      <c r="B325" s="366"/>
      <c r="C325" s="366" t="s">
        <v>157</v>
      </c>
      <c r="D325" s="123">
        <f>'footnote k tax'!C9</f>
        <v>8.5424936288814923E-2</v>
      </c>
      <c r="E325" s="454" t="s">
        <v>158</v>
      </c>
      <c r="F325" s="454"/>
      <c r="G325" s="454"/>
      <c r="H325" s="454"/>
      <c r="I325" s="454"/>
      <c r="J325" s="454"/>
      <c r="K325" s="454"/>
    </row>
    <row r="326" spans="1:11">
      <c r="A326" s="122"/>
      <c r="B326" s="366"/>
      <c r="C326" s="366" t="s">
        <v>159</v>
      </c>
      <c r="D326" s="123">
        <f>'footnote k tax'!C14</f>
        <v>0.1600479991814828</v>
      </c>
      <c r="E326" s="454" t="s">
        <v>160</v>
      </c>
      <c r="F326" s="454"/>
      <c r="G326" s="454"/>
      <c r="H326" s="454"/>
      <c r="I326" s="454"/>
      <c r="J326" s="454"/>
      <c r="K326" s="454"/>
    </row>
    <row r="327" spans="1:11">
      <c r="A327" s="122" t="s">
        <v>130</v>
      </c>
      <c r="B327" s="454" t="s">
        <v>205</v>
      </c>
      <c r="C327" s="454"/>
      <c r="D327" s="454"/>
      <c r="E327" s="454"/>
      <c r="F327" s="454"/>
      <c r="G327" s="454"/>
      <c r="H327" s="454"/>
      <c r="I327" s="454"/>
      <c r="J327" s="454"/>
      <c r="K327" s="454"/>
    </row>
    <row r="328" spans="1:11" ht="32.25" customHeight="1">
      <c r="A328" s="122" t="s">
        <v>131</v>
      </c>
      <c r="B328" s="454" t="s">
        <v>267</v>
      </c>
      <c r="C328" s="454"/>
      <c r="D328" s="454"/>
      <c r="E328" s="454"/>
      <c r="F328" s="454"/>
      <c r="G328" s="454"/>
      <c r="H328" s="454"/>
      <c r="I328" s="454"/>
      <c r="J328" s="454"/>
      <c r="K328" s="454"/>
    </row>
    <row r="329" spans="1:11" ht="48" customHeight="1">
      <c r="A329" s="122" t="s">
        <v>132</v>
      </c>
      <c r="B329" s="454" t="s">
        <v>272</v>
      </c>
      <c r="C329" s="454"/>
      <c r="D329" s="454"/>
      <c r="E329" s="454"/>
      <c r="F329" s="454"/>
      <c r="G329" s="454"/>
      <c r="H329" s="454"/>
      <c r="I329" s="454"/>
      <c r="J329" s="454"/>
      <c r="K329" s="454"/>
    </row>
    <row r="330" spans="1:11">
      <c r="A330" s="122" t="s">
        <v>133</v>
      </c>
      <c r="B330" s="454" t="s">
        <v>178</v>
      </c>
      <c r="C330" s="454"/>
      <c r="D330" s="454"/>
      <c r="E330" s="454"/>
      <c r="F330" s="454"/>
      <c r="G330" s="454"/>
      <c r="H330" s="454"/>
      <c r="I330" s="454"/>
      <c r="J330" s="454"/>
      <c r="K330" s="454"/>
    </row>
    <row r="331" spans="1:11" ht="53.25" customHeight="1">
      <c r="A331" s="122" t="s">
        <v>134</v>
      </c>
      <c r="B331" s="454" t="s">
        <v>621</v>
      </c>
      <c r="C331" s="454"/>
      <c r="D331" s="454"/>
      <c r="E331" s="454"/>
      <c r="F331" s="454"/>
      <c r="G331" s="454"/>
      <c r="H331" s="454"/>
      <c r="I331" s="454"/>
      <c r="J331" s="454"/>
      <c r="K331" s="454"/>
    </row>
    <row r="332" spans="1:11" ht="32.25" customHeight="1">
      <c r="A332" s="122" t="s">
        <v>135</v>
      </c>
      <c r="B332" s="454" t="s">
        <v>268</v>
      </c>
      <c r="C332" s="454"/>
      <c r="D332" s="454"/>
      <c r="E332" s="454"/>
      <c r="F332" s="454"/>
      <c r="G332" s="454"/>
      <c r="H332" s="454"/>
      <c r="I332" s="454"/>
      <c r="J332" s="454"/>
      <c r="K332" s="454"/>
    </row>
    <row r="333" spans="1:11">
      <c r="A333" s="122" t="s">
        <v>136</v>
      </c>
      <c r="B333" s="454" t="s">
        <v>137</v>
      </c>
      <c r="C333" s="454"/>
      <c r="D333" s="454"/>
      <c r="E333" s="454"/>
      <c r="F333" s="454"/>
      <c r="G333" s="454"/>
      <c r="H333" s="454"/>
      <c r="I333" s="454"/>
      <c r="J333" s="454"/>
      <c r="K333" s="454"/>
    </row>
    <row r="334" spans="1:11" ht="48" customHeight="1">
      <c r="A334" s="122" t="s">
        <v>184</v>
      </c>
      <c r="B334" s="454" t="s">
        <v>275</v>
      </c>
      <c r="C334" s="454"/>
      <c r="D334" s="454"/>
      <c r="E334" s="454"/>
      <c r="F334" s="454"/>
      <c r="G334" s="454"/>
      <c r="H334" s="454"/>
      <c r="I334" s="454"/>
      <c r="J334" s="454"/>
      <c r="K334" s="454"/>
    </row>
    <row r="335" spans="1:11" ht="63.75" customHeight="1">
      <c r="A335" s="124" t="s">
        <v>186</v>
      </c>
      <c r="B335" s="459" t="s">
        <v>276</v>
      </c>
      <c r="C335" s="459"/>
      <c r="D335" s="459"/>
      <c r="E335" s="459"/>
      <c r="F335" s="459"/>
      <c r="G335" s="459"/>
      <c r="H335" s="459"/>
      <c r="I335" s="459"/>
      <c r="J335" s="459"/>
      <c r="K335" s="459"/>
    </row>
    <row r="336" spans="1:11">
      <c r="A336" s="124" t="s">
        <v>195</v>
      </c>
      <c r="B336" s="459" t="s">
        <v>206</v>
      </c>
      <c r="C336" s="459"/>
      <c r="D336" s="459"/>
      <c r="E336" s="459"/>
      <c r="F336" s="459"/>
      <c r="G336" s="459"/>
      <c r="H336" s="459"/>
      <c r="I336" s="459"/>
      <c r="J336" s="459"/>
      <c r="K336" s="459"/>
    </row>
    <row r="337" spans="1:12">
      <c r="A337" s="125" t="s">
        <v>207</v>
      </c>
      <c r="B337" s="459" t="s">
        <v>504</v>
      </c>
      <c r="C337" s="459"/>
      <c r="D337" s="459"/>
      <c r="E337" s="459"/>
      <c r="F337" s="459"/>
      <c r="G337" s="459"/>
      <c r="H337" s="459"/>
      <c r="I337" s="459"/>
      <c r="J337" s="459"/>
      <c r="K337" s="459"/>
      <c r="L337" s="7"/>
    </row>
    <row r="338" spans="1:12" s="7" customFormat="1">
      <c r="A338" s="125" t="s">
        <v>219</v>
      </c>
      <c r="B338" s="459" t="s">
        <v>612</v>
      </c>
      <c r="C338" s="459"/>
      <c r="D338" s="459"/>
      <c r="E338" s="459"/>
      <c r="F338" s="459"/>
      <c r="G338" s="459"/>
      <c r="H338" s="459"/>
      <c r="I338" s="459"/>
      <c r="J338" s="459"/>
      <c r="K338" s="459"/>
      <c r="L338" s="1"/>
    </row>
    <row r="339" spans="1:12" ht="32.25" customHeight="1">
      <c r="A339" s="125" t="s">
        <v>220</v>
      </c>
      <c r="B339" s="459" t="s">
        <v>613</v>
      </c>
      <c r="C339" s="459"/>
      <c r="D339" s="459"/>
      <c r="E339" s="459"/>
      <c r="F339" s="459"/>
      <c r="G339" s="459"/>
      <c r="H339" s="459"/>
      <c r="I339" s="459"/>
      <c r="J339" s="459"/>
      <c r="K339" s="459"/>
    </row>
    <row r="340" spans="1:12">
      <c r="A340" s="355" t="s">
        <v>378</v>
      </c>
      <c r="B340" s="168" t="s">
        <v>379</v>
      </c>
      <c r="C340" s="9"/>
      <c r="D340" s="9"/>
      <c r="E340" s="9"/>
      <c r="F340" s="9"/>
      <c r="G340" s="9"/>
      <c r="H340" s="9"/>
      <c r="I340" s="9"/>
      <c r="J340" s="9"/>
      <c r="K340" s="9"/>
    </row>
    <row r="341" spans="1:12">
      <c r="A341" s="355"/>
      <c r="B341" s="9" t="s">
        <v>380</v>
      </c>
      <c r="C341" s="9"/>
      <c r="D341" s="9"/>
      <c r="E341" s="9"/>
      <c r="F341" s="9"/>
      <c r="G341" s="9"/>
      <c r="H341" s="9"/>
      <c r="I341" s="9"/>
      <c r="J341" s="9"/>
      <c r="K341" s="9"/>
    </row>
    <row r="342" spans="1:12">
      <c r="A342" s="355"/>
      <c r="B342" s="9" t="s">
        <v>381</v>
      </c>
      <c r="C342" s="9"/>
      <c r="D342" s="9"/>
      <c r="E342" s="9"/>
      <c r="F342" s="9"/>
      <c r="G342" s="9"/>
      <c r="H342" s="9"/>
      <c r="I342" s="9"/>
      <c r="J342" s="9"/>
      <c r="K342" s="9"/>
    </row>
    <row r="343" spans="1:12">
      <c r="A343" s="355"/>
      <c r="B343" s="9" t="s">
        <v>382</v>
      </c>
      <c r="C343" s="9"/>
      <c r="D343" s="9"/>
      <c r="E343" s="9"/>
      <c r="F343" s="9"/>
      <c r="G343" s="9"/>
      <c r="H343" s="9"/>
      <c r="I343" s="9"/>
      <c r="J343" s="9"/>
      <c r="K343" s="9"/>
    </row>
    <row r="344" spans="1:12">
      <c r="A344" s="355" t="s">
        <v>442</v>
      </c>
      <c r="B344" s="7" t="s">
        <v>614</v>
      </c>
      <c r="C344" s="9"/>
      <c r="D344" s="9"/>
      <c r="E344" s="9"/>
      <c r="F344" s="9"/>
      <c r="G344" s="9"/>
      <c r="H344" s="9"/>
      <c r="I344" s="9"/>
      <c r="J344" s="9"/>
      <c r="K344" s="9"/>
    </row>
    <row r="345" spans="1:12">
      <c r="A345" s="355" t="s">
        <v>447</v>
      </c>
      <c r="B345" s="7" t="s">
        <v>615</v>
      </c>
      <c r="C345" s="9"/>
      <c r="D345" s="9"/>
      <c r="E345" s="9"/>
      <c r="F345" s="9"/>
      <c r="G345" s="9"/>
      <c r="H345" s="9"/>
      <c r="I345" s="9"/>
      <c r="J345" s="9"/>
      <c r="K345" s="9"/>
    </row>
    <row r="346" spans="1:12">
      <c r="A346" s="356"/>
      <c r="B346" s="7" t="s">
        <v>622</v>
      </c>
      <c r="C346" s="9"/>
      <c r="D346" s="9"/>
      <c r="E346" s="9"/>
      <c r="F346" s="9"/>
      <c r="G346" s="9"/>
      <c r="H346" s="9"/>
      <c r="I346" s="9"/>
      <c r="J346" s="9"/>
      <c r="K346" s="9"/>
    </row>
    <row r="347" spans="1:12">
      <c r="A347" s="355"/>
      <c r="B347" s="9"/>
      <c r="C347" s="9"/>
      <c r="D347" s="9"/>
      <c r="E347" s="9"/>
      <c r="F347" s="9"/>
      <c r="G347" s="9"/>
      <c r="H347" s="9"/>
      <c r="I347" s="9"/>
      <c r="J347" s="9"/>
      <c r="K347" s="9"/>
    </row>
    <row r="348" spans="1:12">
      <c r="A348" s="457"/>
      <c r="B348" s="457"/>
      <c r="C348" s="457"/>
      <c r="D348" s="15"/>
      <c r="E348" s="15"/>
      <c r="F348" s="44"/>
      <c r="G348" s="435"/>
      <c r="H348" s="435"/>
      <c r="I348" s="435"/>
      <c r="J348" s="435"/>
      <c r="K348" s="435"/>
    </row>
    <row r="349" spans="1:12">
      <c r="A349" s="457"/>
      <c r="B349" s="457"/>
      <c r="C349" s="457"/>
      <c r="D349" s="15"/>
      <c r="E349" s="15"/>
      <c r="F349" s="44"/>
      <c r="G349" s="15"/>
      <c r="H349" s="15"/>
      <c r="I349" s="44"/>
      <c r="J349" s="363"/>
    </row>
    <row r="350" spans="1:12">
      <c r="A350" s="364"/>
      <c r="B350" s="364"/>
      <c r="C350" s="364"/>
      <c r="D350" s="15"/>
      <c r="E350" s="15"/>
      <c r="F350" s="44"/>
      <c r="G350" s="15"/>
      <c r="H350" s="15"/>
      <c r="I350" s="44"/>
      <c r="J350" s="363"/>
    </row>
    <row r="351" spans="1:12">
      <c r="A351" s="7"/>
      <c r="B351" s="62"/>
      <c r="C351" s="62"/>
      <c r="D351" s="357"/>
      <c r="E351" s="62"/>
      <c r="F351" s="62"/>
      <c r="G351" s="447" t="s">
        <v>723</v>
      </c>
      <c r="H351" s="453"/>
      <c r="I351" s="453"/>
      <c r="J351" s="453"/>
      <c r="K351" s="453"/>
    </row>
    <row r="352" spans="1:12">
      <c r="A352" s="7"/>
      <c r="B352" s="62"/>
      <c r="C352" s="62"/>
      <c r="D352" s="357"/>
      <c r="E352" s="62"/>
      <c r="F352" s="62"/>
      <c r="G352" s="432"/>
      <c r="H352" s="433"/>
      <c r="I352" s="433"/>
      <c r="J352" s="433"/>
      <c r="K352" s="433"/>
    </row>
    <row r="353" spans="1:11">
      <c r="A353" s="7"/>
      <c r="B353" s="62"/>
      <c r="C353" s="62"/>
      <c r="D353" s="357"/>
      <c r="E353" s="62"/>
      <c r="F353" s="62"/>
      <c r="G353" s="432"/>
      <c r="H353" s="433"/>
      <c r="I353" s="448" t="s">
        <v>608</v>
      </c>
      <c r="J353" s="448"/>
      <c r="K353" s="448"/>
    </row>
    <row r="354" spans="1:11">
      <c r="A354" s="7"/>
      <c r="B354" s="62"/>
      <c r="C354" s="62"/>
      <c r="D354" s="357"/>
      <c r="E354" s="62"/>
      <c r="F354" s="62"/>
      <c r="G354" s="62"/>
      <c r="H354" s="22"/>
      <c r="I354" s="22"/>
      <c r="J354" s="449" t="s">
        <v>464</v>
      </c>
      <c r="K354" s="449"/>
    </row>
    <row r="355" spans="1:11">
      <c r="A355" s="362"/>
      <c r="B355" s="362"/>
      <c r="C355" s="362"/>
      <c r="D355" s="11"/>
      <c r="E355" s="11"/>
      <c r="F355" s="43"/>
      <c r="G355" s="11"/>
      <c r="H355" s="11"/>
      <c r="I355" s="44"/>
      <c r="J355" s="363"/>
      <c r="K355" s="1"/>
    </row>
    <row r="356" spans="1:11">
      <c r="A356" s="362"/>
      <c r="B356" s="362"/>
      <c r="C356" s="362"/>
      <c r="D356" s="11"/>
      <c r="E356" s="11"/>
      <c r="F356" s="43"/>
      <c r="G356" s="11"/>
      <c r="H356" s="11"/>
      <c r="I356" s="44"/>
      <c r="J356" s="363"/>
      <c r="K356" s="1"/>
    </row>
    <row r="357" spans="1:11">
      <c r="A357" s="362"/>
      <c r="B357" s="362"/>
      <c r="C357" s="362"/>
      <c r="D357" s="11"/>
      <c r="E357" s="11"/>
      <c r="F357" s="43"/>
      <c r="G357" s="11"/>
      <c r="H357" s="11"/>
      <c r="I357" s="44"/>
      <c r="J357" s="363"/>
      <c r="K357" s="1"/>
    </row>
    <row r="358" spans="1:11">
      <c r="A358" s="362"/>
      <c r="B358" s="362"/>
      <c r="C358" s="362"/>
      <c r="D358" s="11"/>
      <c r="E358" s="11"/>
      <c r="F358" s="43"/>
      <c r="G358" s="11"/>
      <c r="H358" s="11"/>
      <c r="I358" s="44"/>
      <c r="J358" s="363"/>
      <c r="K358" s="1"/>
    </row>
    <row r="359" spans="1:11">
      <c r="A359" s="33" t="s">
        <v>449</v>
      </c>
      <c r="B359" s="362" t="s">
        <v>505</v>
      </c>
      <c r="C359" s="362"/>
      <c r="D359" s="11"/>
      <c r="E359" s="11"/>
      <c r="F359" s="43"/>
      <c r="G359" s="11"/>
      <c r="H359" s="11"/>
      <c r="I359" s="44"/>
      <c r="J359" s="363"/>
      <c r="K359" s="1"/>
    </row>
    <row r="360" spans="1:11">
      <c r="A360" s="33"/>
      <c r="B360" s="362"/>
      <c r="C360" s="362"/>
      <c r="D360" s="11"/>
      <c r="E360" s="11"/>
      <c r="F360" s="43"/>
      <c r="G360" s="11"/>
      <c r="H360" s="11"/>
      <c r="I360" s="44"/>
      <c r="J360" s="363"/>
      <c r="K360" s="1"/>
    </row>
    <row r="361" spans="1:11">
      <c r="A361" s="33" t="s">
        <v>450</v>
      </c>
      <c r="B361" s="362" t="s">
        <v>616</v>
      </c>
      <c r="C361" s="362"/>
      <c r="D361" s="11"/>
      <c r="E361" s="11"/>
      <c r="F361" s="43"/>
      <c r="G361" s="11"/>
      <c r="H361" s="11"/>
      <c r="I361" s="44"/>
      <c r="J361" s="363"/>
      <c r="K361" s="1"/>
    </row>
    <row r="362" spans="1:11">
      <c r="A362" s="362"/>
      <c r="B362" s="362"/>
      <c r="C362" s="362"/>
      <c r="D362" s="11"/>
      <c r="E362" s="11"/>
      <c r="F362" s="43"/>
      <c r="G362" s="11"/>
      <c r="H362" s="11"/>
      <c r="I362" s="44"/>
      <c r="J362" s="363"/>
      <c r="K362" s="1"/>
    </row>
    <row r="363" spans="1:11">
      <c r="A363" s="28" t="s">
        <v>490</v>
      </c>
      <c r="B363" s="9" t="s">
        <v>443</v>
      </c>
      <c r="C363" s="362"/>
      <c r="D363" s="11"/>
      <c r="E363" s="11"/>
      <c r="F363" s="43"/>
      <c r="G363" s="11"/>
      <c r="H363" s="11"/>
      <c r="I363" s="44"/>
      <c r="J363" s="363"/>
      <c r="K363" s="1"/>
    </row>
    <row r="364" spans="1:11">
      <c r="A364" s="362"/>
      <c r="B364" s="9" t="s">
        <v>444</v>
      </c>
      <c r="C364" s="362"/>
      <c r="D364" s="11"/>
      <c r="E364" s="11"/>
      <c r="F364" s="43"/>
      <c r="G364" s="11"/>
      <c r="H364" s="11"/>
      <c r="I364" s="44"/>
      <c r="J364" s="363"/>
      <c r="K364" s="1"/>
    </row>
    <row r="365" spans="1:11">
      <c r="A365" s="362"/>
      <c r="B365" s="9" t="s">
        <v>445</v>
      </c>
      <c r="C365" s="362"/>
      <c r="D365" s="11"/>
      <c r="E365" s="11"/>
      <c r="F365" s="43"/>
      <c r="G365" s="11"/>
      <c r="H365" s="11"/>
      <c r="I365" s="44"/>
      <c r="J365" s="363"/>
      <c r="K365" s="1"/>
    </row>
    <row r="366" spans="1:11">
      <c r="A366" s="362"/>
      <c r="B366" s="9" t="s">
        <v>446</v>
      </c>
      <c r="C366" s="6"/>
      <c r="D366" s="6"/>
      <c r="E366" s="6"/>
      <c r="F366" s="6"/>
      <c r="G366" s="6"/>
      <c r="H366" s="6"/>
      <c r="I366" s="6"/>
      <c r="J366" s="6"/>
      <c r="K366" s="9"/>
    </row>
    <row r="367" spans="1:11">
      <c r="A367" s="28" t="s">
        <v>491</v>
      </c>
      <c r="B367" s="9" t="s">
        <v>448</v>
      </c>
      <c r="C367" s="6"/>
      <c r="D367" s="6"/>
      <c r="E367" s="6"/>
      <c r="F367" s="6"/>
      <c r="G367" s="6"/>
      <c r="H367" s="6"/>
      <c r="I367" s="9"/>
      <c r="J367" s="9"/>
      <c r="K367" s="9"/>
    </row>
    <row r="368" spans="1:11">
      <c r="A368" s="28" t="s">
        <v>506</v>
      </c>
      <c r="B368" s="1" t="s">
        <v>691</v>
      </c>
      <c r="C368" s="413"/>
      <c r="D368" s="413"/>
      <c r="E368" s="413"/>
      <c r="F368" s="6"/>
      <c r="G368" s="6"/>
      <c r="H368" s="6"/>
      <c r="I368" s="9"/>
      <c r="J368" s="9"/>
      <c r="K368" s="9"/>
    </row>
    <row r="369" spans="1:11">
      <c r="A369" s="28" t="s">
        <v>507</v>
      </c>
      <c r="B369" s="9" t="s">
        <v>451</v>
      </c>
      <c r="C369" s="6"/>
      <c r="D369" s="6"/>
      <c r="E369" s="6"/>
      <c r="F369" s="6"/>
      <c r="G369" s="6"/>
      <c r="H369" s="6"/>
      <c r="I369" s="9"/>
      <c r="J369" s="9"/>
      <c r="K369" s="9"/>
    </row>
    <row r="370" spans="1:11">
      <c r="A370" s="28"/>
      <c r="B370" s="9" t="s">
        <v>455</v>
      </c>
      <c r="C370" s="6" t="s">
        <v>452</v>
      </c>
      <c r="D370" s="14">
        <f>'2015 Attach O True-Up'!G16</f>
        <v>3785839.083333333</v>
      </c>
      <c r="E370" s="6"/>
      <c r="F370" s="6"/>
      <c r="G370" s="6"/>
      <c r="H370" s="6"/>
      <c r="I370" s="9"/>
      <c r="J370" s="9"/>
      <c r="K370" s="9"/>
    </row>
    <row r="371" spans="1:11">
      <c r="A371" s="28"/>
      <c r="B371" s="9" t="s">
        <v>454</v>
      </c>
      <c r="C371" s="6" t="s">
        <v>452</v>
      </c>
      <c r="D371" s="427">
        <f>'2015 Attach O True-Up'!G17</f>
        <v>3995607</v>
      </c>
      <c r="E371" s="6"/>
      <c r="F371" s="6"/>
      <c r="G371" s="6"/>
      <c r="H371" s="6"/>
      <c r="I371" s="9"/>
      <c r="J371" s="9"/>
      <c r="K371" s="9"/>
    </row>
    <row r="372" spans="1:11">
      <c r="A372" s="28"/>
      <c r="B372" s="9" t="s">
        <v>453</v>
      </c>
      <c r="C372" s="6"/>
      <c r="D372" s="14">
        <f>D371-D370</f>
        <v>209767.91666666698</v>
      </c>
      <c r="E372" s="6"/>
      <c r="F372" s="6"/>
      <c r="G372" s="6"/>
      <c r="H372" s="6"/>
      <c r="I372" s="9"/>
      <c r="J372" s="9"/>
      <c r="K372" s="9"/>
    </row>
    <row r="373" spans="1:11">
      <c r="A373" s="28"/>
      <c r="B373" s="9" t="s">
        <v>456</v>
      </c>
      <c r="C373" s="6" t="s">
        <v>457</v>
      </c>
      <c r="D373" s="234">
        <f>'2015 Attach O True-Up'!G20</f>
        <v>26.443000000000001</v>
      </c>
      <c r="E373" s="6"/>
      <c r="F373" s="6"/>
      <c r="G373" s="6"/>
      <c r="H373" s="6"/>
      <c r="I373" s="9"/>
      <c r="J373" s="9"/>
      <c r="K373" s="9"/>
    </row>
    <row r="374" spans="1:11">
      <c r="A374" s="28"/>
      <c r="B374" s="9" t="s">
        <v>458</v>
      </c>
      <c r="C374" s="6"/>
      <c r="D374" s="14">
        <f>D372*D373</f>
        <v>5546893.0204166751</v>
      </c>
      <c r="E374" s="6"/>
      <c r="F374" s="6"/>
      <c r="G374" s="6"/>
      <c r="H374" s="6"/>
      <c r="I374" s="9"/>
      <c r="J374" s="9"/>
      <c r="K374" s="9"/>
    </row>
    <row r="375" spans="1:11">
      <c r="A375" s="28"/>
      <c r="B375" s="9"/>
      <c r="C375" s="6"/>
      <c r="D375" s="234"/>
      <c r="E375" s="6"/>
      <c r="F375" s="6"/>
      <c r="G375" s="6"/>
      <c r="H375" s="6"/>
      <c r="I375" s="9"/>
      <c r="J375" s="9"/>
      <c r="K375" s="9"/>
    </row>
    <row r="376" spans="1:11">
      <c r="A376" s="28"/>
      <c r="B376" s="9"/>
      <c r="C376" s="6"/>
      <c r="D376" s="234"/>
      <c r="E376" s="6"/>
      <c r="F376" s="6"/>
      <c r="G376" s="6"/>
      <c r="H376" s="6"/>
      <c r="I376" s="9"/>
      <c r="J376" s="9"/>
      <c r="K376" s="9"/>
    </row>
    <row r="377" spans="1:11">
      <c r="A377" s="28"/>
      <c r="B377" s="9"/>
      <c r="C377" s="6"/>
      <c r="D377" s="234"/>
      <c r="E377" s="6"/>
      <c r="F377" s="6"/>
      <c r="G377" s="6"/>
      <c r="H377" s="6"/>
      <c r="I377" s="9"/>
      <c r="J377" s="9"/>
      <c r="K377" s="9"/>
    </row>
    <row r="378" spans="1:11">
      <c r="A378" s="28"/>
      <c r="B378" s="9"/>
      <c r="C378" s="6"/>
      <c r="D378" s="234"/>
      <c r="E378" s="6"/>
      <c r="F378" s="6"/>
      <c r="G378" s="6"/>
      <c r="H378" s="6"/>
      <c r="I378" s="9"/>
      <c r="J378" s="9"/>
      <c r="K378" s="9"/>
    </row>
    <row r="379" spans="1:11">
      <c r="A379" s="28"/>
      <c r="B379" s="9"/>
      <c r="C379" s="6"/>
      <c r="D379" s="234"/>
      <c r="E379" s="6"/>
      <c r="F379" s="6"/>
      <c r="G379" s="6"/>
      <c r="H379" s="6"/>
      <c r="I379" s="9"/>
      <c r="J379" s="9"/>
      <c r="K379" s="9"/>
    </row>
    <row r="380" spans="1:11">
      <c r="A380" s="28"/>
      <c r="B380" s="9"/>
      <c r="C380" s="6"/>
      <c r="D380" s="234"/>
      <c r="E380" s="6"/>
      <c r="F380" s="6"/>
      <c r="G380" s="6"/>
      <c r="H380" s="6"/>
      <c r="I380" s="9"/>
      <c r="J380" s="9"/>
      <c r="K380" s="9"/>
    </row>
    <row r="381" spans="1:11">
      <c r="A381" s="28"/>
      <c r="B381" s="9"/>
      <c r="C381" s="6"/>
      <c r="D381" s="234"/>
      <c r="E381" s="6"/>
      <c r="F381" s="6"/>
      <c r="G381" s="6"/>
      <c r="H381" s="6"/>
      <c r="I381" s="9"/>
      <c r="J381" s="9"/>
      <c r="K381" s="9"/>
    </row>
    <row r="382" spans="1:11">
      <c r="A382" s="28"/>
      <c r="B382" s="9"/>
      <c r="C382" s="6"/>
      <c r="D382" s="234"/>
      <c r="E382" s="6"/>
      <c r="F382" s="6"/>
      <c r="G382" s="6"/>
      <c r="H382" s="6"/>
      <c r="I382" s="9"/>
      <c r="J382" s="9"/>
      <c r="K382" s="9"/>
    </row>
    <row r="383" spans="1:11">
      <c r="A383" s="28"/>
      <c r="B383" s="9"/>
      <c r="C383" s="6"/>
      <c r="D383" s="234"/>
      <c r="E383" s="6"/>
      <c r="F383" s="6"/>
      <c r="G383" s="6"/>
      <c r="H383" s="6"/>
      <c r="I383" s="9"/>
      <c r="J383" s="9"/>
      <c r="K383" s="9"/>
    </row>
    <row r="384" spans="1:11">
      <c r="A384" s="28"/>
      <c r="B384" s="9"/>
      <c r="C384" s="6"/>
      <c r="D384" s="234"/>
      <c r="E384" s="6"/>
      <c r="F384" s="6"/>
      <c r="G384" s="6"/>
      <c r="H384" s="6"/>
      <c r="I384" s="9"/>
      <c r="J384" s="9"/>
      <c r="K384" s="9"/>
    </row>
    <row r="385" spans="1:11">
      <c r="A385" s="28"/>
      <c r="B385" s="9"/>
      <c r="C385" s="6"/>
      <c r="D385" s="234"/>
      <c r="E385" s="6"/>
      <c r="F385" s="6"/>
      <c r="G385" s="6"/>
      <c r="H385" s="6"/>
      <c r="I385" s="9"/>
      <c r="J385" s="9"/>
      <c r="K385" s="9"/>
    </row>
    <row r="386" spans="1:11">
      <c r="A386" s="28"/>
      <c r="B386" s="9"/>
      <c r="C386" s="6"/>
      <c r="D386" s="234"/>
      <c r="E386" s="6"/>
      <c r="F386" s="6"/>
      <c r="G386" s="6"/>
      <c r="H386" s="6"/>
      <c r="I386" s="9"/>
      <c r="J386" s="9"/>
      <c r="K386" s="9"/>
    </row>
    <row r="387" spans="1:11">
      <c r="A387" s="28"/>
      <c r="B387" s="9"/>
      <c r="C387" s="6"/>
      <c r="D387" s="234"/>
      <c r="E387" s="6"/>
      <c r="F387" s="6"/>
      <c r="G387" s="6"/>
      <c r="H387" s="6"/>
      <c r="I387" s="9"/>
      <c r="J387" s="9"/>
      <c r="K387" s="9"/>
    </row>
    <row r="388" spans="1:11">
      <c r="A388" s="28"/>
      <c r="B388" s="9"/>
      <c r="C388" s="6"/>
      <c r="D388" s="234"/>
      <c r="E388" s="6"/>
      <c r="F388" s="6"/>
      <c r="G388" s="6"/>
      <c r="H388" s="6"/>
      <c r="I388" s="9"/>
      <c r="J388" s="9"/>
      <c r="K388" s="9"/>
    </row>
    <row r="389" spans="1:11">
      <c r="A389" s="28"/>
      <c r="B389" s="9"/>
      <c r="C389" s="6"/>
      <c r="D389" s="234"/>
      <c r="E389" s="6"/>
      <c r="F389" s="6"/>
      <c r="G389" s="6"/>
      <c r="H389" s="6"/>
      <c r="I389" s="9"/>
      <c r="J389" s="9"/>
      <c r="K389" s="9"/>
    </row>
    <row r="390" spans="1:11">
      <c r="A390" s="28"/>
      <c r="B390" s="9"/>
      <c r="C390" s="6"/>
      <c r="D390" s="234"/>
      <c r="E390" s="6"/>
      <c r="F390" s="6"/>
      <c r="G390" s="6"/>
      <c r="H390" s="6"/>
      <c r="I390" s="9"/>
      <c r="J390" s="9"/>
      <c r="K390" s="9"/>
    </row>
    <row r="391" spans="1:11">
      <c r="A391" s="28"/>
      <c r="B391" s="9"/>
      <c r="C391" s="6"/>
      <c r="D391" s="234"/>
      <c r="E391" s="6"/>
      <c r="F391" s="6"/>
      <c r="G391" s="6"/>
      <c r="H391" s="6"/>
      <c r="I391" s="9"/>
      <c r="J391" s="9"/>
      <c r="K391" s="9"/>
    </row>
    <row r="392" spans="1:11">
      <c r="A392" s="28"/>
      <c r="B392" s="9"/>
      <c r="C392" s="6"/>
      <c r="D392" s="234"/>
      <c r="E392" s="6"/>
      <c r="F392" s="6"/>
      <c r="G392" s="6"/>
      <c r="H392" s="6"/>
      <c r="I392" s="9"/>
      <c r="J392" s="9"/>
      <c r="K392" s="9"/>
    </row>
    <row r="393" spans="1:11">
      <c r="A393" s="28"/>
      <c r="B393" s="9"/>
      <c r="C393" s="6"/>
      <c r="D393" s="234"/>
      <c r="E393" s="6"/>
      <c r="F393" s="6"/>
      <c r="G393" s="6"/>
      <c r="H393" s="6"/>
      <c r="I393" s="9"/>
      <c r="J393" s="9"/>
      <c r="K393" s="9"/>
    </row>
    <row r="394" spans="1:11">
      <c r="A394" s="28"/>
      <c r="B394" s="9"/>
      <c r="C394" s="6"/>
      <c r="D394" s="234"/>
      <c r="E394" s="6"/>
      <c r="F394" s="6"/>
      <c r="G394" s="6"/>
      <c r="H394" s="6"/>
      <c r="I394" s="9"/>
      <c r="J394" s="9"/>
      <c r="K394" s="9"/>
    </row>
    <row r="395" spans="1:11">
      <c r="A395" s="28"/>
      <c r="B395" s="9"/>
      <c r="C395" s="6"/>
      <c r="D395" s="234"/>
      <c r="E395" s="6"/>
      <c r="F395" s="6"/>
      <c r="G395" s="6"/>
      <c r="H395" s="6"/>
      <c r="I395" s="9"/>
      <c r="J395" s="9"/>
      <c r="K395" s="9"/>
    </row>
    <row r="396" spans="1:11">
      <c r="A396" s="28"/>
      <c r="B396" s="9"/>
      <c r="C396" s="6"/>
      <c r="D396" s="234"/>
      <c r="E396" s="6"/>
      <c r="F396" s="6"/>
      <c r="G396" s="6"/>
      <c r="H396" s="6"/>
      <c r="I396" s="9"/>
      <c r="J396" s="9"/>
      <c r="K396" s="9"/>
    </row>
    <row r="397" spans="1:11">
      <c r="A397" s="28"/>
      <c r="B397" s="9"/>
      <c r="C397" s="6"/>
      <c r="D397" s="234"/>
      <c r="E397" s="6"/>
      <c r="F397" s="6"/>
      <c r="G397" s="6"/>
      <c r="H397" s="6"/>
      <c r="I397" s="9"/>
      <c r="J397" s="9"/>
      <c r="K397" s="9"/>
    </row>
    <row r="398" spans="1:11">
      <c r="A398" s="28"/>
      <c r="B398" s="9"/>
      <c r="C398" s="6"/>
      <c r="D398" s="234"/>
      <c r="E398" s="6"/>
      <c r="F398" s="6"/>
      <c r="G398" s="6"/>
      <c r="H398" s="6"/>
      <c r="I398" s="9"/>
      <c r="J398" s="9"/>
      <c r="K398" s="9"/>
    </row>
    <row r="399" spans="1:11">
      <c r="A399" s="28"/>
      <c r="B399" s="9"/>
      <c r="C399" s="6"/>
      <c r="D399" s="234"/>
      <c r="E399" s="6"/>
      <c r="F399" s="6"/>
      <c r="G399" s="6"/>
      <c r="H399" s="6"/>
      <c r="I399" s="9"/>
      <c r="J399" s="9"/>
      <c r="K399" s="9"/>
    </row>
    <row r="400" spans="1:11">
      <c r="A400" s="28"/>
      <c r="B400" s="9"/>
      <c r="C400" s="6"/>
      <c r="D400" s="234"/>
      <c r="E400" s="6"/>
      <c r="F400" s="6"/>
      <c r="G400" s="6"/>
      <c r="H400" s="6"/>
      <c r="I400" s="9"/>
      <c r="J400" s="9"/>
      <c r="K400" s="9"/>
    </row>
    <row r="401" spans="1:11">
      <c r="A401" s="28"/>
      <c r="B401" s="9"/>
      <c r="C401" s="6"/>
      <c r="D401" s="234"/>
      <c r="E401" s="6"/>
      <c r="F401" s="6"/>
      <c r="G401" s="6"/>
      <c r="H401" s="6"/>
      <c r="I401" s="9"/>
      <c r="J401" s="9"/>
      <c r="K401" s="9"/>
    </row>
    <row r="402" spans="1:11">
      <c r="A402" s="28"/>
      <c r="B402" s="9"/>
      <c r="C402" s="6"/>
      <c r="D402" s="234"/>
      <c r="E402" s="6"/>
      <c r="F402" s="6"/>
      <c r="G402" s="6"/>
      <c r="H402" s="6"/>
      <c r="I402" s="9"/>
      <c r="J402" s="9"/>
      <c r="K402" s="9"/>
    </row>
    <row r="403" spans="1:11">
      <c r="A403" s="28"/>
      <c r="B403" s="9"/>
      <c r="C403" s="6"/>
      <c r="D403" s="234"/>
      <c r="E403" s="6"/>
      <c r="F403" s="6"/>
      <c r="G403" s="6"/>
      <c r="H403" s="6"/>
      <c r="I403" s="9"/>
      <c r="J403" s="9"/>
      <c r="K403" s="9"/>
    </row>
    <row r="404" spans="1:11">
      <c r="A404" s="28"/>
      <c r="B404" s="9"/>
      <c r="C404" s="6"/>
      <c r="D404" s="234"/>
      <c r="E404" s="6"/>
      <c r="F404" s="6"/>
      <c r="G404" s="6"/>
      <c r="H404" s="6"/>
      <c r="I404" s="9"/>
      <c r="J404" s="9"/>
      <c r="K404" s="9"/>
    </row>
    <row r="405" spans="1:11">
      <c r="A405" s="28"/>
      <c r="B405" s="9"/>
      <c r="C405" s="6"/>
      <c r="D405" s="234"/>
      <c r="E405" s="6"/>
      <c r="F405" s="6"/>
      <c r="G405" s="6"/>
      <c r="H405" s="6"/>
      <c r="I405" s="9"/>
      <c r="J405" s="9"/>
      <c r="K405" s="9"/>
    </row>
    <row r="406" spans="1:11">
      <c r="A406" s="28"/>
      <c r="B406" s="9"/>
      <c r="C406" s="6"/>
      <c r="D406" s="234"/>
      <c r="E406" s="6"/>
      <c r="F406" s="6"/>
      <c r="G406" s="6"/>
      <c r="H406" s="6"/>
      <c r="I406" s="9"/>
      <c r="J406" s="9"/>
      <c r="K406" s="9"/>
    </row>
    <row r="407" spans="1:11">
      <c r="A407" s="28"/>
      <c r="B407" s="9"/>
      <c r="C407" s="6"/>
      <c r="D407" s="234"/>
      <c r="E407" s="6"/>
      <c r="F407" s="6"/>
      <c r="G407" s="6"/>
      <c r="H407" s="6"/>
      <c r="I407" s="9"/>
      <c r="J407" s="9"/>
      <c r="K407" s="9"/>
    </row>
    <row r="408" spans="1:11">
      <c r="A408" s="28"/>
      <c r="B408" s="9"/>
      <c r="C408" s="6"/>
      <c r="D408" s="234"/>
      <c r="E408" s="6"/>
      <c r="F408" s="6"/>
      <c r="G408" s="6"/>
      <c r="H408" s="6"/>
      <c r="I408" s="9"/>
      <c r="J408" s="9"/>
      <c r="K408" s="9"/>
    </row>
    <row r="409" spans="1:11">
      <c r="A409" s="28"/>
      <c r="B409" s="9"/>
      <c r="C409" s="6"/>
      <c r="D409" s="234"/>
      <c r="E409" s="6"/>
      <c r="F409" s="6"/>
      <c r="G409" s="6"/>
      <c r="H409" s="6"/>
      <c r="I409" s="9"/>
      <c r="J409" s="9"/>
      <c r="K409" s="9"/>
    </row>
    <row r="410" spans="1:11">
      <c r="A410" s="28"/>
      <c r="B410" s="9"/>
      <c r="C410" s="6"/>
      <c r="D410" s="234"/>
      <c r="E410" s="6"/>
      <c r="F410" s="6"/>
      <c r="G410" s="6"/>
      <c r="H410" s="6"/>
      <c r="I410" s="9"/>
      <c r="J410" s="9"/>
      <c r="K410" s="9"/>
    </row>
    <row r="411" spans="1:11">
      <c r="A411" s="28"/>
      <c r="B411" s="9"/>
      <c r="C411" s="6"/>
      <c r="D411" s="234"/>
      <c r="E411" s="6"/>
      <c r="F411" s="6"/>
      <c r="G411" s="6"/>
      <c r="H411" s="6"/>
      <c r="I411" s="9"/>
      <c r="J411" s="9"/>
      <c r="K411" s="9"/>
    </row>
    <row r="412" spans="1:11">
      <c r="A412" s="28"/>
      <c r="B412" s="9"/>
      <c r="C412" s="6"/>
      <c r="D412" s="234"/>
      <c r="E412" s="6"/>
      <c r="F412" s="6"/>
      <c r="G412" s="6"/>
      <c r="H412" s="6"/>
      <c r="I412" s="9"/>
      <c r="J412" s="9"/>
      <c r="K412" s="9"/>
    </row>
    <row r="413" spans="1:11">
      <c r="A413" s="28"/>
      <c r="B413" s="9"/>
      <c r="C413" s="6"/>
      <c r="D413" s="234"/>
      <c r="E413" s="6"/>
      <c r="F413" s="6"/>
      <c r="G413" s="6"/>
      <c r="H413" s="6"/>
      <c r="I413" s="9"/>
      <c r="J413" s="9"/>
      <c r="K413" s="9"/>
    </row>
    <row r="422" spans="1:11">
      <c r="A422" s="452"/>
      <c r="B422" s="452"/>
      <c r="C422" s="452"/>
      <c r="D422" s="11"/>
      <c r="E422" s="11"/>
      <c r="F422" s="43"/>
      <c r="G422" s="435"/>
      <c r="H422" s="435"/>
      <c r="I422" s="435"/>
      <c r="J422" s="435"/>
      <c r="K422" s="435"/>
    </row>
  </sheetData>
  <mergeCells count="69">
    <mergeCell ref="J354:K354"/>
    <mergeCell ref="A422:C422"/>
    <mergeCell ref="G422:K422"/>
    <mergeCell ref="A348:C348"/>
    <mergeCell ref="G348:K348"/>
    <mergeCell ref="A349:C349"/>
    <mergeCell ref="G351:K351"/>
    <mergeCell ref="I353:K353"/>
    <mergeCell ref="B339:K339"/>
    <mergeCell ref="B328:K328"/>
    <mergeCell ref="B329:K329"/>
    <mergeCell ref="B330:K330"/>
    <mergeCell ref="B331:K331"/>
    <mergeCell ref="B332:K332"/>
    <mergeCell ref="B333:K333"/>
    <mergeCell ref="B334:K334"/>
    <mergeCell ref="B335:K335"/>
    <mergeCell ref="B336:K336"/>
    <mergeCell ref="B337:K337"/>
    <mergeCell ref="B338:K338"/>
    <mergeCell ref="B327:K327"/>
    <mergeCell ref="B315:K315"/>
    <mergeCell ref="B316:K316"/>
    <mergeCell ref="B317:K317"/>
    <mergeCell ref="B318:K318"/>
    <mergeCell ref="B319:K319"/>
    <mergeCell ref="B320:K320"/>
    <mergeCell ref="B321:K321"/>
    <mergeCell ref="B322:K322"/>
    <mergeCell ref="B323:K323"/>
    <mergeCell ref="E325:K325"/>
    <mergeCell ref="E326:K326"/>
    <mergeCell ref="B314:K314"/>
    <mergeCell ref="I223:K223"/>
    <mergeCell ref="J224:K224"/>
    <mergeCell ref="G226:K226"/>
    <mergeCell ref="N240:S240"/>
    <mergeCell ref="A298:C298"/>
    <mergeCell ref="G298:K298"/>
    <mergeCell ref="G299:K299"/>
    <mergeCell ref="G300:K300"/>
    <mergeCell ref="I301:K301"/>
    <mergeCell ref="J302:K302"/>
    <mergeCell ref="B313:K313"/>
    <mergeCell ref="F222:K222"/>
    <mergeCell ref="A146:B146"/>
    <mergeCell ref="A147:K147"/>
    <mergeCell ref="F148:K148"/>
    <mergeCell ref="D149:K149"/>
    <mergeCell ref="I151:K151"/>
    <mergeCell ref="J152:K152"/>
    <mergeCell ref="B209:C209"/>
    <mergeCell ref="A219:C219"/>
    <mergeCell ref="G219:K219"/>
    <mergeCell ref="A220:B220"/>
    <mergeCell ref="G221:K221"/>
    <mergeCell ref="A145:C145"/>
    <mergeCell ref="I145:K145"/>
    <mergeCell ref="G1:K1"/>
    <mergeCell ref="M1:P4"/>
    <mergeCell ref="G2:K2"/>
    <mergeCell ref="I4:K4"/>
    <mergeCell ref="A73:C73"/>
    <mergeCell ref="G73:K73"/>
    <mergeCell ref="A74:C74"/>
    <mergeCell ref="G75:K75"/>
    <mergeCell ref="G76:K76"/>
    <mergeCell ref="I77:K77"/>
    <mergeCell ref="J78:K78"/>
  </mergeCells>
  <printOptions horizontalCentered="1" verticalCentered="1"/>
  <pageMargins left="0.75" right="0.75" top="1" bottom="1" header="0.5" footer="0.5"/>
  <pageSetup scale="54" fitToHeight="6" orientation="portrait" horizontalDpi="300" verticalDpi="300" r:id="rId1"/>
  <headerFooter alignWithMargins="0"/>
  <rowBreaks count="4" manualBreakCount="4">
    <brk id="74" max="16383" man="1"/>
    <brk id="147" max="16383" man="1"/>
    <brk id="220" max="16383" man="1"/>
    <brk id="298" max="16383" man="1"/>
  </rowBreaks>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2" workbookViewId="0">
      <selection activeCell="D23" sqref="D23"/>
    </sheetView>
  </sheetViews>
  <sheetFormatPr defaultRowHeight="15"/>
  <cols>
    <col min="1" max="1" width="6.81640625" customWidth="1"/>
    <col min="2" max="2" width="16.453125" customWidth="1"/>
    <col min="3" max="3" width="16" bestFit="1" customWidth="1"/>
    <col min="4" max="4" width="16.453125" customWidth="1"/>
  </cols>
  <sheetData>
    <row r="1" spans="1:4" ht="15.6">
      <c r="A1" s="161" t="s">
        <v>280</v>
      </c>
    </row>
    <row r="2" spans="1:4" ht="15.6">
      <c r="A2" s="161" t="s">
        <v>423</v>
      </c>
    </row>
    <row r="3" spans="1:4" ht="15.6">
      <c r="A3" s="161" t="s">
        <v>693</v>
      </c>
    </row>
    <row r="5" spans="1:4">
      <c r="B5" s="170" t="s">
        <v>411</v>
      </c>
      <c r="C5" s="170" t="s">
        <v>412</v>
      </c>
      <c r="D5" s="170" t="s">
        <v>417</v>
      </c>
    </row>
    <row r="7" spans="1:4" ht="15.6">
      <c r="A7" s="190"/>
      <c r="B7" s="210"/>
      <c r="C7" s="182"/>
      <c r="D7" s="175" t="s">
        <v>425</v>
      </c>
    </row>
    <row r="8" spans="1:4" ht="15.6">
      <c r="A8" s="208" t="s">
        <v>4</v>
      </c>
      <c r="B8" s="206"/>
      <c r="C8" s="209"/>
      <c r="D8" s="211" t="s">
        <v>426</v>
      </c>
    </row>
    <row r="9" spans="1:4" ht="15.6">
      <c r="A9" s="172" t="s">
        <v>6</v>
      </c>
      <c r="B9" s="200" t="s">
        <v>405</v>
      </c>
      <c r="C9" s="177" t="s">
        <v>424</v>
      </c>
      <c r="D9" s="178" t="s">
        <v>427</v>
      </c>
    </row>
    <row r="10" spans="1:4">
      <c r="A10" s="191">
        <v>1</v>
      </c>
      <c r="B10" s="195">
        <v>42705</v>
      </c>
      <c r="C10" s="201">
        <v>0</v>
      </c>
      <c r="D10" s="202">
        <v>7183158</v>
      </c>
    </row>
    <row r="11" spans="1:4">
      <c r="A11" s="192">
        <v>2</v>
      </c>
      <c r="B11" s="196">
        <v>42736</v>
      </c>
      <c r="C11" s="203">
        <f>D11-D10</f>
        <v>15859000</v>
      </c>
      <c r="D11" s="204">
        <v>23042158</v>
      </c>
    </row>
    <row r="12" spans="1:4">
      <c r="A12" s="192">
        <v>3</v>
      </c>
      <c r="B12" s="196">
        <v>42767</v>
      </c>
      <c r="C12" s="203">
        <f t="shared" ref="C12:C22" si="0">D12-D11</f>
        <v>-2004000</v>
      </c>
      <c r="D12" s="204">
        <v>21038158</v>
      </c>
    </row>
    <row r="13" spans="1:4">
      <c r="A13" s="192">
        <v>4</v>
      </c>
      <c r="B13" s="196">
        <v>42795</v>
      </c>
      <c r="C13" s="203">
        <f t="shared" si="0"/>
        <v>-997000</v>
      </c>
      <c r="D13" s="204">
        <v>20041158</v>
      </c>
    </row>
    <row r="14" spans="1:4">
      <c r="A14" s="192">
        <v>5</v>
      </c>
      <c r="B14" s="196">
        <v>42826</v>
      </c>
      <c r="C14" s="203">
        <f t="shared" si="0"/>
        <v>-381000</v>
      </c>
      <c r="D14" s="204">
        <v>19660158</v>
      </c>
    </row>
    <row r="15" spans="1:4">
      <c r="A15" s="192">
        <v>6</v>
      </c>
      <c r="B15" s="196">
        <v>42856</v>
      </c>
      <c r="C15" s="203">
        <f t="shared" si="0"/>
        <v>-2029000</v>
      </c>
      <c r="D15" s="204">
        <v>17631158</v>
      </c>
    </row>
    <row r="16" spans="1:4">
      <c r="A16" s="192">
        <v>7</v>
      </c>
      <c r="B16" s="196">
        <v>42887</v>
      </c>
      <c r="C16" s="203">
        <f t="shared" si="0"/>
        <v>-1935000</v>
      </c>
      <c r="D16" s="204">
        <v>15696158</v>
      </c>
    </row>
    <row r="17" spans="1:4">
      <c r="A17" s="192">
        <v>8</v>
      </c>
      <c r="B17" s="196">
        <v>42917</v>
      </c>
      <c r="C17" s="203">
        <f t="shared" si="0"/>
        <v>-2035000</v>
      </c>
      <c r="D17" s="204">
        <v>13661158</v>
      </c>
    </row>
    <row r="18" spans="1:4">
      <c r="A18" s="192">
        <v>9</v>
      </c>
      <c r="B18" s="196">
        <v>42948</v>
      </c>
      <c r="C18" s="203">
        <f t="shared" si="0"/>
        <v>-2035000</v>
      </c>
      <c r="D18" s="204">
        <v>11626158</v>
      </c>
    </row>
    <row r="19" spans="1:4">
      <c r="A19" s="192">
        <v>10</v>
      </c>
      <c r="B19" s="196">
        <v>42979</v>
      </c>
      <c r="C19" s="203">
        <f t="shared" si="0"/>
        <v>-1547000</v>
      </c>
      <c r="D19" s="204">
        <v>10079158</v>
      </c>
    </row>
    <row r="20" spans="1:4">
      <c r="A20" s="192">
        <v>11</v>
      </c>
      <c r="B20" s="196">
        <v>43009</v>
      </c>
      <c r="C20" s="203">
        <f t="shared" si="0"/>
        <v>1953677</v>
      </c>
      <c r="D20" s="204">
        <v>12032835</v>
      </c>
    </row>
    <row r="21" spans="1:4">
      <c r="A21" s="192">
        <v>12</v>
      </c>
      <c r="B21" s="196">
        <v>43040</v>
      </c>
      <c r="C21" s="203">
        <f t="shared" si="0"/>
        <v>-1992000</v>
      </c>
      <c r="D21" s="204">
        <v>10040835</v>
      </c>
    </row>
    <row r="22" spans="1:4">
      <c r="A22" s="192">
        <v>13</v>
      </c>
      <c r="B22" s="196">
        <v>43070</v>
      </c>
      <c r="C22" s="203">
        <f t="shared" si="0"/>
        <v>-2448000</v>
      </c>
      <c r="D22" s="204">
        <v>7592835</v>
      </c>
    </row>
    <row r="23" spans="1:4" ht="15.6" thickBot="1">
      <c r="A23" s="192">
        <v>14</v>
      </c>
      <c r="B23" s="132"/>
      <c r="C23" s="135"/>
      <c r="D23" s="212"/>
    </row>
    <row r="24" spans="1:4" ht="15.6">
      <c r="A24" s="192">
        <v>15</v>
      </c>
      <c r="B24" s="206" t="s">
        <v>9</v>
      </c>
      <c r="C24" s="203"/>
      <c r="D24" s="204">
        <f t="shared" ref="D24" si="1">SUM(D10:D23)</f>
        <v>189325085</v>
      </c>
    </row>
    <row r="25" spans="1:4" ht="15.6">
      <c r="A25" s="192">
        <v>16</v>
      </c>
      <c r="B25" s="206" t="s">
        <v>410</v>
      </c>
      <c r="C25" s="203"/>
      <c r="D25" s="213">
        <f>AVERAGE(D10:D22)</f>
        <v>14563468.076923076</v>
      </c>
    </row>
    <row r="26" spans="1:4">
      <c r="A26" s="181"/>
      <c r="B26" s="187"/>
      <c r="C26" s="162"/>
      <c r="D26" s="18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81640625" customWidth="1"/>
    <col min="2" max="2" width="16.453125" customWidth="1"/>
    <col min="3" max="3" width="15.81640625" customWidth="1"/>
  </cols>
  <sheetData>
    <row r="1" spans="1:3" ht="15.6">
      <c r="A1" s="161" t="s">
        <v>280</v>
      </c>
    </row>
    <row r="2" spans="1:3" ht="15.6">
      <c r="A2" s="161" t="s">
        <v>497</v>
      </c>
    </row>
    <row r="3" spans="1:3" ht="15.6">
      <c r="A3" s="161" t="s">
        <v>694</v>
      </c>
    </row>
    <row r="5" spans="1:3">
      <c r="B5" s="170" t="s">
        <v>411</v>
      </c>
      <c r="C5" s="170" t="s">
        <v>412</v>
      </c>
    </row>
    <row r="7" spans="1:3">
      <c r="A7" s="190" t="s">
        <v>4</v>
      </c>
      <c r="B7" s="210"/>
      <c r="C7" s="216"/>
    </row>
    <row r="8" spans="1:3" ht="15.6">
      <c r="A8" s="181" t="s">
        <v>6</v>
      </c>
      <c r="B8" s="206" t="s">
        <v>405</v>
      </c>
      <c r="C8" s="258" t="s">
        <v>498</v>
      </c>
    </row>
    <row r="9" spans="1:3">
      <c r="A9" s="238">
        <v>1</v>
      </c>
      <c r="B9" s="195">
        <v>42736</v>
      </c>
      <c r="C9" s="216">
        <f>4579396+1720041</f>
        <v>6299437</v>
      </c>
    </row>
    <row r="10" spans="1:3">
      <c r="A10" s="229">
        <v>2</v>
      </c>
      <c r="B10" s="196">
        <v>42767</v>
      </c>
      <c r="C10" s="134">
        <f>4668868+1720041</f>
        <v>6388909</v>
      </c>
    </row>
    <row r="11" spans="1:3">
      <c r="A11" s="229">
        <v>3</v>
      </c>
      <c r="B11" s="196">
        <v>42795</v>
      </c>
      <c r="C11" s="134">
        <f>5006780+1720041</f>
        <v>6726821</v>
      </c>
    </row>
    <row r="12" spans="1:3">
      <c r="A12" s="229">
        <v>4</v>
      </c>
      <c r="B12" s="196">
        <v>42826</v>
      </c>
      <c r="C12" s="134">
        <f>4543434+1720041</f>
        <v>6263475</v>
      </c>
    </row>
    <row r="13" spans="1:3">
      <c r="A13" s="229">
        <v>5</v>
      </c>
      <c r="B13" s="196">
        <v>42856</v>
      </c>
      <c r="C13" s="134">
        <f>4626487+1720041</f>
        <v>6346528</v>
      </c>
    </row>
    <row r="14" spans="1:3">
      <c r="A14" s="229">
        <v>6</v>
      </c>
      <c r="B14" s="196">
        <v>42887</v>
      </c>
      <c r="C14" s="134">
        <f>5026586+1720041</f>
        <v>6746627</v>
      </c>
    </row>
    <row r="15" spans="1:3">
      <c r="A15" s="229">
        <v>7</v>
      </c>
      <c r="B15" s="196">
        <v>42917</v>
      </c>
      <c r="C15" s="134">
        <f>4590795+1720041</f>
        <v>6310836</v>
      </c>
    </row>
    <row r="16" spans="1:3">
      <c r="A16" s="229">
        <v>8</v>
      </c>
      <c r="B16" s="196">
        <v>42948</v>
      </c>
      <c r="C16" s="134">
        <f>4648939+1720041</f>
        <v>6368980</v>
      </c>
    </row>
    <row r="17" spans="1:3">
      <c r="A17" s="229">
        <v>9</v>
      </c>
      <c r="B17" s="196">
        <v>42979</v>
      </c>
      <c r="C17" s="134">
        <f>4925026+1720041</f>
        <v>6645067</v>
      </c>
    </row>
    <row r="18" spans="1:3">
      <c r="A18" s="229">
        <v>10</v>
      </c>
      <c r="B18" s="196">
        <v>43009</v>
      </c>
      <c r="C18" s="134">
        <f>4686508+1720041</f>
        <v>6406549</v>
      </c>
    </row>
    <row r="19" spans="1:3">
      <c r="A19" s="229">
        <v>11</v>
      </c>
      <c r="B19" s="196">
        <v>43040</v>
      </c>
      <c r="C19" s="134">
        <f>4623456+1720041</f>
        <v>6343497</v>
      </c>
    </row>
    <row r="20" spans="1:3">
      <c r="A20" s="229">
        <v>12</v>
      </c>
      <c r="B20" s="196">
        <v>43070</v>
      </c>
      <c r="C20" s="134">
        <f>5163162+1720041</f>
        <v>6883203</v>
      </c>
    </row>
    <row r="21" spans="1:3" ht="15.6" thickBot="1">
      <c r="A21" s="229">
        <v>13</v>
      </c>
      <c r="B21" s="132"/>
      <c r="C21" s="212"/>
    </row>
    <row r="22" spans="1:3" ht="15.6">
      <c r="A22" s="229">
        <v>14</v>
      </c>
      <c r="B22" s="206" t="s">
        <v>9</v>
      </c>
      <c r="C22" s="211">
        <f>SUM(C9:C21)</f>
        <v>77729929</v>
      </c>
    </row>
    <row r="23" spans="1:3">
      <c r="A23" s="187"/>
      <c r="B23" s="187"/>
      <c r="C23" s="18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81640625" customWidth="1"/>
    <col min="2" max="2" width="16.453125" customWidth="1"/>
    <col min="3" max="3" width="15.81640625" customWidth="1"/>
  </cols>
  <sheetData>
    <row r="1" spans="1:3" ht="15.6">
      <c r="A1" s="161" t="s">
        <v>280</v>
      </c>
    </row>
    <row r="2" spans="1:3" ht="15.6">
      <c r="A2" s="161" t="s">
        <v>499</v>
      </c>
    </row>
    <row r="3" spans="1:3" ht="15.6">
      <c r="A3" s="161" t="s">
        <v>694</v>
      </c>
    </row>
    <row r="5" spans="1:3">
      <c r="B5" s="170" t="s">
        <v>411</v>
      </c>
      <c r="C5" s="170" t="s">
        <v>412</v>
      </c>
    </row>
    <row r="7" spans="1:3">
      <c r="A7" s="190" t="s">
        <v>4</v>
      </c>
      <c r="B7" s="210"/>
      <c r="C7" s="216"/>
    </row>
    <row r="8" spans="1:3" ht="15.6">
      <c r="A8" s="181" t="s">
        <v>6</v>
      </c>
      <c r="B8" s="206" t="s">
        <v>405</v>
      </c>
      <c r="C8" s="258" t="s">
        <v>498</v>
      </c>
    </row>
    <row r="9" spans="1:3">
      <c r="A9" s="238">
        <v>1</v>
      </c>
      <c r="B9" s="195">
        <v>42736</v>
      </c>
      <c r="C9" s="216">
        <v>6142455</v>
      </c>
    </row>
    <row r="10" spans="1:3">
      <c r="A10" s="229">
        <v>2</v>
      </c>
      <c r="B10" s="196">
        <v>42767</v>
      </c>
      <c r="C10" s="134">
        <v>5534990</v>
      </c>
    </row>
    <row r="11" spans="1:3">
      <c r="A11" s="229">
        <v>3</v>
      </c>
      <c r="B11" s="196">
        <v>42795</v>
      </c>
      <c r="C11" s="134">
        <v>5980210</v>
      </c>
    </row>
    <row r="12" spans="1:3">
      <c r="A12" s="229">
        <v>4</v>
      </c>
      <c r="B12" s="196">
        <v>42826</v>
      </c>
      <c r="C12" s="134">
        <v>6123142</v>
      </c>
    </row>
    <row r="13" spans="1:3">
      <c r="A13" s="229">
        <v>5</v>
      </c>
      <c r="B13" s="196">
        <v>42856</v>
      </c>
      <c r="C13" s="134">
        <v>5874305</v>
      </c>
    </row>
    <row r="14" spans="1:3">
      <c r="A14" s="229">
        <v>6</v>
      </c>
      <c r="B14" s="196">
        <v>42887</v>
      </c>
      <c r="C14" s="134">
        <v>6193671</v>
      </c>
    </row>
    <row r="15" spans="1:3">
      <c r="A15" s="229">
        <v>7</v>
      </c>
      <c r="B15" s="196">
        <v>42917</v>
      </c>
      <c r="C15" s="134">
        <v>6419269</v>
      </c>
    </row>
    <row r="16" spans="1:3">
      <c r="A16" s="229">
        <v>8</v>
      </c>
      <c r="B16" s="196">
        <v>42948</v>
      </c>
      <c r="C16" s="134">
        <v>6866709</v>
      </c>
    </row>
    <row r="17" spans="1:3">
      <c r="A17" s="229">
        <v>9</v>
      </c>
      <c r="B17" s="196">
        <v>42979</v>
      </c>
      <c r="C17" s="134">
        <v>5848743</v>
      </c>
    </row>
    <row r="18" spans="1:3">
      <c r="A18" s="229">
        <v>10</v>
      </c>
      <c r="B18" s="196">
        <v>43009</v>
      </c>
      <c r="C18" s="134">
        <v>5715745</v>
      </c>
    </row>
    <row r="19" spans="1:3">
      <c r="A19" s="229">
        <v>11</v>
      </c>
      <c r="B19" s="196">
        <v>43040</v>
      </c>
      <c r="C19" s="134">
        <v>5768628</v>
      </c>
    </row>
    <row r="20" spans="1:3">
      <c r="A20" s="229">
        <v>12</v>
      </c>
      <c r="B20" s="196">
        <v>43070</v>
      </c>
      <c r="C20" s="134">
        <v>5996081</v>
      </c>
    </row>
    <row r="21" spans="1:3" ht="15.6" thickBot="1">
      <c r="A21" s="229">
        <v>13</v>
      </c>
      <c r="B21" s="132"/>
      <c r="C21" s="212"/>
    </row>
    <row r="22" spans="1:3" ht="15.6">
      <c r="A22" s="229">
        <v>14</v>
      </c>
      <c r="B22" s="206" t="s">
        <v>9</v>
      </c>
      <c r="C22" s="211">
        <f>SUM(C9:C21)</f>
        <v>72463948</v>
      </c>
    </row>
    <row r="23" spans="1:3">
      <c r="A23" s="187"/>
      <c r="B23" s="187"/>
      <c r="C23" s="188"/>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C17" sqref="C17"/>
    </sheetView>
  </sheetViews>
  <sheetFormatPr defaultRowHeight="15"/>
  <cols>
    <col min="1" max="1" width="6.81640625" customWidth="1"/>
    <col min="2" max="2" width="19.6328125" customWidth="1"/>
    <col min="3" max="3" width="14.453125" bestFit="1" customWidth="1"/>
  </cols>
  <sheetData>
    <row r="1" spans="1:3" ht="15.6">
      <c r="A1" s="161" t="s">
        <v>280</v>
      </c>
    </row>
    <row r="2" spans="1:3" ht="15.6">
      <c r="A2" s="161" t="s">
        <v>428</v>
      </c>
    </row>
    <row r="3" spans="1:3" ht="15.6">
      <c r="A3" s="161" t="s">
        <v>694</v>
      </c>
    </row>
    <row r="5" spans="1:3">
      <c r="B5" s="170" t="s">
        <v>411</v>
      </c>
      <c r="C5" s="170" t="s">
        <v>412</v>
      </c>
    </row>
    <row r="7" spans="1:3">
      <c r="A7" s="171" t="s">
        <v>4</v>
      </c>
      <c r="B7" s="210"/>
      <c r="C7" s="216"/>
    </row>
    <row r="8" spans="1:3" ht="15.6">
      <c r="A8" s="172" t="s">
        <v>6</v>
      </c>
      <c r="B8" s="200" t="s">
        <v>428</v>
      </c>
      <c r="C8" s="188"/>
    </row>
    <row r="9" spans="1:3">
      <c r="A9" s="191">
        <v>1</v>
      </c>
      <c r="B9" s="210" t="s">
        <v>406</v>
      </c>
      <c r="C9" s="184">
        <v>314490000</v>
      </c>
    </row>
    <row r="10" spans="1:3">
      <c r="A10" s="192" t="s">
        <v>203</v>
      </c>
      <c r="B10" s="132" t="s">
        <v>720</v>
      </c>
      <c r="C10" s="186">
        <v>16931</v>
      </c>
    </row>
    <row r="11" spans="1:3">
      <c r="A11" s="192"/>
      <c r="B11" s="132"/>
      <c r="C11" s="186"/>
    </row>
    <row r="12" spans="1:3">
      <c r="A12" s="192">
        <v>2</v>
      </c>
      <c r="B12" s="132" t="s">
        <v>38</v>
      </c>
      <c r="C12" s="186">
        <v>36762000</v>
      </c>
    </row>
    <row r="13" spans="1:3">
      <c r="A13" s="192" t="s">
        <v>719</v>
      </c>
      <c r="B13" s="132" t="s">
        <v>721</v>
      </c>
      <c r="C13" s="186">
        <v>1</v>
      </c>
    </row>
    <row r="14" spans="1:3">
      <c r="A14" s="192"/>
      <c r="B14" s="132"/>
      <c r="C14" s="186"/>
    </row>
    <row r="15" spans="1:3">
      <c r="A15" s="192">
        <v>3</v>
      </c>
      <c r="B15" s="132" t="s">
        <v>407</v>
      </c>
      <c r="C15" s="186">
        <v>90740000</v>
      </c>
    </row>
    <row r="16" spans="1:3">
      <c r="A16" s="192"/>
      <c r="B16" s="132"/>
      <c r="C16" s="186"/>
    </row>
    <row r="17" spans="1:3" ht="15.6" thickBot="1">
      <c r="A17" s="192">
        <v>4</v>
      </c>
      <c r="B17" s="132" t="s">
        <v>429</v>
      </c>
      <c r="C17" s="217">
        <v>18154285</v>
      </c>
    </row>
    <row r="18" spans="1:3">
      <c r="A18" s="192"/>
      <c r="B18" s="132"/>
      <c r="C18" s="186"/>
    </row>
    <row r="19" spans="1:3" ht="15.6">
      <c r="A19" s="192">
        <v>5</v>
      </c>
      <c r="B19" s="206" t="s">
        <v>9</v>
      </c>
      <c r="C19" s="186">
        <f>SUM(C9:C18)</f>
        <v>460163217</v>
      </c>
    </row>
    <row r="20" spans="1:3">
      <c r="A20" s="181"/>
      <c r="B20" s="187"/>
      <c r="C20" s="18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22" sqref="C22"/>
    </sheetView>
  </sheetViews>
  <sheetFormatPr defaultRowHeight="15"/>
  <cols>
    <col min="1" max="1" width="6.81640625" customWidth="1"/>
    <col min="2" max="2" width="20.90625" customWidth="1"/>
    <col min="3" max="3" width="14.453125" bestFit="1" customWidth="1"/>
  </cols>
  <sheetData>
    <row r="1" spans="1:3" ht="15.6">
      <c r="A1" s="161" t="s">
        <v>280</v>
      </c>
    </row>
    <row r="2" spans="1:3" ht="15.6">
      <c r="A2" s="161" t="s">
        <v>520</v>
      </c>
    </row>
    <row r="3" spans="1:3" ht="15.6">
      <c r="A3" s="161" t="s">
        <v>694</v>
      </c>
    </row>
    <row r="5" spans="1:3">
      <c r="B5" s="170" t="s">
        <v>411</v>
      </c>
      <c r="C5" s="170" t="s">
        <v>412</v>
      </c>
    </row>
    <row r="7" spans="1:3">
      <c r="A7" s="171" t="s">
        <v>4</v>
      </c>
      <c r="B7" s="210"/>
      <c r="C7" s="216"/>
    </row>
    <row r="8" spans="1:3" ht="15.6">
      <c r="A8" s="172" t="s">
        <v>6</v>
      </c>
      <c r="B8" s="200" t="s">
        <v>520</v>
      </c>
      <c r="C8" s="188"/>
    </row>
    <row r="9" spans="1:3">
      <c r="A9" s="191">
        <v>1</v>
      </c>
      <c r="B9" s="210" t="s">
        <v>521</v>
      </c>
      <c r="C9" s="184">
        <f>C21*0.09643379752</f>
        <v>9961004.6187958028</v>
      </c>
    </row>
    <row r="10" spans="1:3">
      <c r="A10" s="192"/>
      <c r="B10" s="132"/>
      <c r="C10" s="186"/>
    </row>
    <row r="11" spans="1:3">
      <c r="A11" s="192">
        <v>2</v>
      </c>
      <c r="B11" s="132" t="s">
        <v>522</v>
      </c>
      <c r="C11" s="186">
        <v>0</v>
      </c>
    </row>
    <row r="12" spans="1:3">
      <c r="A12" s="192"/>
      <c r="B12" s="132"/>
      <c r="C12" s="186"/>
    </row>
    <row r="13" spans="1:3">
      <c r="A13" s="192">
        <v>3</v>
      </c>
      <c r="B13" s="132" t="s">
        <v>523</v>
      </c>
      <c r="C13" s="186">
        <f>C21*0.89249696479</f>
        <v>92189321.764401495</v>
      </c>
    </row>
    <row r="14" spans="1:3">
      <c r="A14" s="192"/>
      <c r="B14" s="132"/>
      <c r="C14" s="186"/>
    </row>
    <row r="15" spans="1:3">
      <c r="A15" s="192">
        <v>4</v>
      </c>
      <c r="B15" s="132" t="s">
        <v>524</v>
      </c>
      <c r="C15" s="186">
        <v>0</v>
      </c>
    </row>
    <row r="16" spans="1:3">
      <c r="A16" s="192"/>
      <c r="B16" s="132"/>
      <c r="C16" s="186"/>
    </row>
    <row r="17" spans="1:3">
      <c r="A17" s="192">
        <v>5</v>
      </c>
      <c r="B17" s="132" t="s">
        <v>525</v>
      </c>
      <c r="C17" s="186">
        <f>C21*0.01106923771</f>
        <v>1143382.6188685664</v>
      </c>
    </row>
    <row r="18" spans="1:3">
      <c r="A18" s="192"/>
      <c r="B18" s="132"/>
      <c r="C18" s="186"/>
    </row>
    <row r="19" spans="1:3" ht="15.6" thickBot="1">
      <c r="A19" s="192">
        <v>6</v>
      </c>
      <c r="B19" s="132" t="s">
        <v>526</v>
      </c>
      <c r="C19" s="217">
        <v>0</v>
      </c>
    </row>
    <row r="20" spans="1:3">
      <c r="A20" s="192"/>
      <c r="B20" s="132"/>
      <c r="C20" s="186"/>
    </row>
    <row r="21" spans="1:3" ht="15.6">
      <c r="A21" s="192">
        <v>7</v>
      </c>
      <c r="B21" s="206" t="s">
        <v>9</v>
      </c>
      <c r="C21" s="186">
        <v>103293709</v>
      </c>
    </row>
    <row r="22" spans="1:3">
      <c r="A22" s="181"/>
      <c r="B22" s="187"/>
      <c r="C22" s="188"/>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5" sqref="A5"/>
    </sheetView>
  </sheetViews>
  <sheetFormatPr defaultRowHeight="15"/>
  <cols>
    <col min="1" max="1" width="6.81640625" customWidth="1"/>
    <col min="2" max="2" width="20.90625" customWidth="1"/>
    <col min="3" max="3" width="14.453125" bestFit="1" customWidth="1"/>
  </cols>
  <sheetData>
    <row r="1" spans="1:3" ht="15.6">
      <c r="A1" s="161" t="s">
        <v>280</v>
      </c>
    </row>
    <row r="2" spans="1:3" ht="15.6">
      <c r="A2" s="161" t="s">
        <v>529</v>
      </c>
    </row>
    <row r="3" spans="1:3" ht="15.6">
      <c r="A3" s="161" t="s">
        <v>694</v>
      </c>
    </row>
    <row r="4" spans="1:3">
      <c r="A4">
        <v>1282000</v>
      </c>
    </row>
    <row r="5" spans="1:3">
      <c r="B5" s="170" t="s">
        <v>411</v>
      </c>
      <c r="C5" s="170" t="s">
        <v>412</v>
      </c>
    </row>
    <row r="7" spans="1:3">
      <c r="A7" s="171" t="s">
        <v>4</v>
      </c>
      <c r="B7" s="210"/>
      <c r="C7" s="216"/>
    </row>
    <row r="8" spans="1:3" ht="15.6">
      <c r="A8" s="172" t="s">
        <v>6</v>
      </c>
      <c r="B8" s="200" t="s">
        <v>529</v>
      </c>
      <c r="C8" s="188"/>
    </row>
    <row r="9" spans="1:3" ht="15.6" thickBot="1">
      <c r="A9" s="191">
        <v>1</v>
      </c>
      <c r="B9" s="210" t="s">
        <v>530</v>
      </c>
      <c r="C9" s="260">
        <v>1219000</v>
      </c>
    </row>
    <row r="10" spans="1:3">
      <c r="A10" s="192"/>
      <c r="B10" s="132"/>
      <c r="C10" s="186"/>
    </row>
    <row r="11" spans="1:3" ht="15.6">
      <c r="A11" s="192">
        <v>2</v>
      </c>
      <c r="B11" s="206" t="s">
        <v>9</v>
      </c>
      <c r="C11" s="186">
        <f>SUM(C9:C10)</f>
        <v>1219000</v>
      </c>
    </row>
    <row r="12" spans="1:3">
      <c r="A12" s="181"/>
      <c r="B12" s="187"/>
      <c r="C12" s="188"/>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2" workbookViewId="0">
      <selection activeCell="C24" sqref="C24"/>
    </sheetView>
  </sheetViews>
  <sheetFormatPr defaultRowHeight="15"/>
  <cols>
    <col min="1" max="1" width="6.81640625" customWidth="1"/>
    <col min="2" max="2" width="14.90625" customWidth="1"/>
    <col min="3" max="3" width="14.453125" bestFit="1" customWidth="1"/>
    <col min="5" max="5" width="12.36328125" bestFit="1" customWidth="1"/>
  </cols>
  <sheetData>
    <row r="1" spans="1:3" ht="15.6">
      <c r="A1" s="161" t="s">
        <v>280</v>
      </c>
    </row>
    <row r="2" spans="1:3" ht="15.6">
      <c r="A2" s="161" t="s">
        <v>531</v>
      </c>
    </row>
    <row r="3" spans="1:3" ht="15.6">
      <c r="A3" s="161" t="s">
        <v>694</v>
      </c>
    </row>
    <row r="5" spans="1:3">
      <c r="B5" s="170" t="s">
        <v>411</v>
      </c>
      <c r="C5" s="170" t="s">
        <v>412</v>
      </c>
    </row>
    <row r="7" spans="1:3">
      <c r="A7" s="171" t="s">
        <v>4</v>
      </c>
      <c r="B7" s="210"/>
      <c r="C7" s="216"/>
    </row>
    <row r="8" spans="1:3" ht="15.6">
      <c r="A8" s="172" t="s">
        <v>6</v>
      </c>
      <c r="B8" s="200" t="s">
        <v>531</v>
      </c>
      <c r="C8" s="188"/>
    </row>
    <row r="9" spans="1:3">
      <c r="A9" s="191">
        <v>1</v>
      </c>
      <c r="B9" s="263">
        <v>561.1</v>
      </c>
      <c r="C9" s="184">
        <v>564167</v>
      </c>
    </row>
    <row r="10" spans="1:3">
      <c r="A10" s="192"/>
      <c r="B10" s="264"/>
      <c r="C10" s="186"/>
    </row>
    <row r="11" spans="1:3">
      <c r="A11" s="192">
        <v>2</v>
      </c>
      <c r="B11" s="264">
        <v>561.20000000000005</v>
      </c>
      <c r="C11" s="186">
        <v>771094</v>
      </c>
    </row>
    <row r="12" spans="1:3">
      <c r="A12" s="192"/>
      <c r="B12" s="264"/>
      <c r="C12" s="186"/>
    </row>
    <row r="13" spans="1:3">
      <c r="A13" s="192">
        <v>3</v>
      </c>
      <c r="B13" s="264">
        <v>561.29999999999995</v>
      </c>
      <c r="C13" s="186">
        <v>198787</v>
      </c>
    </row>
    <row r="14" spans="1:3">
      <c r="A14" s="192"/>
      <c r="B14" s="264"/>
      <c r="C14" s="186"/>
    </row>
    <row r="15" spans="1:3">
      <c r="A15" s="192">
        <v>4</v>
      </c>
      <c r="B15" s="264">
        <v>561.4</v>
      </c>
      <c r="C15" s="186">
        <v>3933071</v>
      </c>
    </row>
    <row r="16" spans="1:3">
      <c r="A16" s="192"/>
      <c r="B16" s="264"/>
      <c r="C16" s="186"/>
    </row>
    <row r="17" spans="1:3">
      <c r="A17" s="192">
        <v>5</v>
      </c>
      <c r="B17" s="264">
        <v>561.5</v>
      </c>
      <c r="C17" s="186">
        <v>1311812</v>
      </c>
    </row>
    <row r="18" spans="1:3">
      <c r="A18" s="192"/>
      <c r="B18" s="264"/>
      <c r="C18" s="186"/>
    </row>
    <row r="19" spans="1:3">
      <c r="A19" s="192">
        <v>6</v>
      </c>
      <c r="B19" s="264">
        <v>561.6</v>
      </c>
      <c r="C19" s="186">
        <v>1807</v>
      </c>
    </row>
    <row r="20" spans="1:3">
      <c r="A20" s="192"/>
      <c r="B20" s="264"/>
      <c r="C20" s="186"/>
    </row>
    <row r="21" spans="1:3">
      <c r="A21" s="192">
        <v>7</v>
      </c>
      <c r="B21" s="264">
        <v>561.70000000000005</v>
      </c>
      <c r="C21" s="186">
        <v>1831</v>
      </c>
    </row>
    <row r="22" spans="1:3">
      <c r="A22" s="192"/>
      <c r="B22" s="264"/>
      <c r="C22" s="186"/>
    </row>
    <row r="23" spans="1:3" ht="15.6" thickBot="1">
      <c r="A23" s="192">
        <v>8</v>
      </c>
      <c r="B23" s="264">
        <v>561.79999999999995</v>
      </c>
      <c r="C23" s="217">
        <f>282798+1278696</f>
        <v>1561494</v>
      </c>
    </row>
    <row r="24" spans="1:3">
      <c r="A24" s="192"/>
      <c r="B24" s="132"/>
      <c r="C24" s="186"/>
    </row>
    <row r="25" spans="1:3" ht="15.6">
      <c r="A25" s="192">
        <v>9</v>
      </c>
      <c r="B25" s="206" t="s">
        <v>9</v>
      </c>
      <c r="C25" s="186">
        <f>SUM(C9:C24)</f>
        <v>8344063</v>
      </c>
    </row>
    <row r="26" spans="1:3">
      <c r="A26" s="181"/>
      <c r="B26" s="187"/>
      <c r="C26" s="188"/>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12" sqref="C12"/>
    </sheetView>
  </sheetViews>
  <sheetFormatPr defaultRowHeight="15"/>
  <cols>
    <col min="1" max="1" width="6.81640625" customWidth="1"/>
    <col min="2" max="2" width="14.90625" customWidth="1"/>
    <col min="3" max="3" width="14.453125" bestFit="1" customWidth="1"/>
  </cols>
  <sheetData>
    <row r="1" spans="1:3" ht="15.6">
      <c r="A1" s="161" t="s">
        <v>280</v>
      </c>
    </row>
    <row r="2" spans="1:3" ht="15.6">
      <c r="A2" s="161" t="s">
        <v>540</v>
      </c>
    </row>
    <row r="3" spans="1:3" ht="15.6">
      <c r="A3" s="161" t="s">
        <v>694</v>
      </c>
    </row>
    <row r="5" spans="1:3">
      <c r="B5" s="170" t="s">
        <v>411</v>
      </c>
      <c r="C5" s="170" t="s">
        <v>412</v>
      </c>
    </row>
    <row r="7" spans="1:3">
      <c r="A7" s="171" t="s">
        <v>4</v>
      </c>
      <c r="B7" s="210"/>
      <c r="C7" s="216"/>
    </row>
    <row r="8" spans="1:3" ht="15.6">
      <c r="A8" s="172" t="s">
        <v>6</v>
      </c>
      <c r="B8" s="200" t="s">
        <v>540</v>
      </c>
      <c r="C8" s="188"/>
    </row>
    <row r="9" spans="1:3">
      <c r="A9" s="191">
        <v>1</v>
      </c>
      <c r="B9" s="263">
        <v>565</v>
      </c>
      <c r="C9" s="184">
        <v>20640486</v>
      </c>
    </row>
    <row r="10" spans="1:3">
      <c r="A10" s="192"/>
      <c r="B10" s="264"/>
      <c r="C10" s="186"/>
    </row>
    <row r="11" spans="1:3" ht="15.6" thickBot="1">
      <c r="A11" s="192">
        <v>2</v>
      </c>
      <c r="B11" s="264">
        <v>565.5</v>
      </c>
      <c r="C11" s="217">
        <f>231943+37324973</f>
        <v>37556916</v>
      </c>
    </row>
    <row r="12" spans="1:3">
      <c r="A12" s="192"/>
      <c r="B12" s="132"/>
      <c r="C12" s="186"/>
    </row>
    <row r="13" spans="1:3" ht="15.6">
      <c r="A13" s="192">
        <v>3</v>
      </c>
      <c r="B13" s="206" t="s">
        <v>9</v>
      </c>
      <c r="C13" s="186">
        <f>SUM(C9:C12)</f>
        <v>58197402</v>
      </c>
    </row>
    <row r="14" spans="1:3">
      <c r="A14" s="181"/>
      <c r="B14" s="187"/>
      <c r="C14" s="188"/>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C13" sqref="C13"/>
    </sheetView>
  </sheetViews>
  <sheetFormatPr defaultRowHeight="15"/>
  <cols>
    <col min="1" max="1" width="6.81640625" customWidth="1"/>
    <col min="2" max="2" width="17.1796875" customWidth="1"/>
    <col min="3" max="3" width="14.453125" bestFit="1" customWidth="1"/>
  </cols>
  <sheetData>
    <row r="1" spans="1:3" ht="15.6">
      <c r="A1" s="161" t="s">
        <v>280</v>
      </c>
    </row>
    <row r="2" spans="1:3" ht="15.6">
      <c r="A2" s="161" t="s">
        <v>543</v>
      </c>
    </row>
    <row r="3" spans="1:3" ht="15.6">
      <c r="A3" s="161" t="s">
        <v>694</v>
      </c>
    </row>
    <row r="5" spans="1:3">
      <c r="B5" s="170" t="s">
        <v>411</v>
      </c>
      <c r="C5" s="170" t="s">
        <v>412</v>
      </c>
    </row>
    <row r="7" spans="1:3">
      <c r="A7" s="171" t="s">
        <v>4</v>
      </c>
      <c r="B7" s="210"/>
      <c r="C7" s="216"/>
    </row>
    <row r="8" spans="1:3" ht="15.6">
      <c r="A8" s="172" t="s">
        <v>6</v>
      </c>
      <c r="B8" s="200" t="s">
        <v>544</v>
      </c>
      <c r="C8" s="188"/>
    </row>
    <row r="9" spans="1:3">
      <c r="A9" s="171"/>
      <c r="B9" s="210"/>
      <c r="C9" s="216"/>
    </row>
    <row r="10" spans="1:3">
      <c r="A10" s="192">
        <v>1</v>
      </c>
      <c r="B10" s="270" t="s">
        <v>542</v>
      </c>
      <c r="C10" s="186">
        <v>1731722</v>
      </c>
    </row>
    <row r="11" spans="1:3">
      <c r="A11" s="192"/>
      <c r="B11" s="270"/>
      <c r="C11" s="186"/>
    </row>
    <row r="12" spans="1:3">
      <c r="A12" s="269">
        <v>2</v>
      </c>
      <c r="B12" s="271" t="s">
        <v>541</v>
      </c>
      <c r="C12" s="272">
        <v>160379</v>
      </c>
    </row>
    <row r="13" spans="1:3">
      <c r="A13" s="137"/>
      <c r="C13" s="268"/>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12" sqref="C12"/>
    </sheetView>
  </sheetViews>
  <sheetFormatPr defaultRowHeight="15"/>
  <cols>
    <col min="1" max="1" width="6.81640625" customWidth="1"/>
    <col min="2" max="2" width="19.36328125" customWidth="1"/>
    <col min="3" max="3" width="14.453125" bestFit="1" customWidth="1"/>
    <col min="4" max="4" width="15.08984375" customWidth="1"/>
  </cols>
  <sheetData>
    <row r="1" spans="1:4" ht="15.6">
      <c r="A1" s="161" t="s">
        <v>280</v>
      </c>
    </row>
    <row r="2" spans="1:4" ht="15.6">
      <c r="A2" s="161" t="s">
        <v>430</v>
      </c>
    </row>
    <row r="3" spans="1:4" ht="15.6">
      <c r="A3" s="161" t="s">
        <v>695</v>
      </c>
    </row>
    <row r="5" spans="1:4">
      <c r="B5" s="170" t="s">
        <v>411</v>
      </c>
      <c r="C5" s="170" t="s">
        <v>412</v>
      </c>
      <c r="D5" s="170" t="s">
        <v>417</v>
      </c>
    </row>
    <row r="7" spans="1:4" ht="15.6">
      <c r="A7" s="190"/>
      <c r="B7" s="214"/>
      <c r="C7" s="463" t="s">
        <v>623</v>
      </c>
      <c r="D7" s="464"/>
    </row>
    <row r="8" spans="1:4" ht="15.6">
      <c r="A8" s="208" t="s">
        <v>4</v>
      </c>
      <c r="B8" s="218"/>
      <c r="C8" s="198"/>
      <c r="D8" s="175"/>
    </row>
    <row r="9" spans="1:4" ht="15.6">
      <c r="A9" s="172" t="s">
        <v>6</v>
      </c>
      <c r="B9" s="215" t="s">
        <v>431</v>
      </c>
      <c r="C9" s="176" t="s">
        <v>7</v>
      </c>
      <c r="D9" s="178" t="s">
        <v>434</v>
      </c>
    </row>
    <row r="10" spans="1:4">
      <c r="A10" s="190"/>
      <c r="B10" s="190"/>
      <c r="C10" s="190"/>
      <c r="D10" s="190"/>
    </row>
    <row r="11" spans="1:4">
      <c r="A11" s="192">
        <v>1</v>
      </c>
      <c r="B11" s="193" t="s">
        <v>406</v>
      </c>
      <c r="C11" s="219">
        <v>60064784</v>
      </c>
      <c r="D11" s="221">
        <f>C11/$C$22</f>
        <v>0.49625702380955822</v>
      </c>
    </row>
    <row r="12" spans="1:4">
      <c r="A12" s="192"/>
      <c r="B12" s="193"/>
      <c r="C12" s="219"/>
      <c r="D12" s="221"/>
    </row>
    <row r="13" spans="1:4">
      <c r="A13" s="192">
        <v>2</v>
      </c>
      <c r="B13" s="193" t="s">
        <v>38</v>
      </c>
      <c r="C13" s="219">
        <v>7489359</v>
      </c>
      <c r="D13" s="221">
        <f t="shared" ref="D13:D20" si="0">C13/$C$22</f>
        <v>6.1877305803369399E-2</v>
      </c>
    </row>
    <row r="14" spans="1:4">
      <c r="A14" s="192"/>
      <c r="B14" s="193"/>
      <c r="C14" s="219"/>
      <c r="D14" s="221"/>
    </row>
    <row r="15" spans="1:4">
      <c r="A15" s="192">
        <v>3</v>
      </c>
      <c r="B15" s="193" t="s">
        <v>407</v>
      </c>
      <c r="C15" s="219">
        <v>35800871</v>
      </c>
      <c r="D15" s="221">
        <f t="shared" si="0"/>
        <v>0.2957878561962351</v>
      </c>
    </row>
    <row r="16" spans="1:4">
      <c r="A16" s="192"/>
      <c r="B16" s="193"/>
      <c r="C16" s="219"/>
      <c r="D16" s="221"/>
    </row>
    <row r="17" spans="1:4">
      <c r="A17" s="192">
        <v>4</v>
      </c>
      <c r="B17" s="193" t="s">
        <v>432</v>
      </c>
      <c r="C17" s="219"/>
      <c r="D17" s="221"/>
    </row>
    <row r="18" spans="1:4">
      <c r="A18" s="192">
        <v>5</v>
      </c>
      <c r="B18" s="193" t="s">
        <v>435</v>
      </c>
      <c r="C18" s="219">
        <v>17676760</v>
      </c>
      <c r="D18" s="221">
        <f t="shared" si="0"/>
        <v>0.14604591449452056</v>
      </c>
    </row>
    <row r="19" spans="1:4">
      <c r="A19" s="192">
        <v>6</v>
      </c>
      <c r="B19" s="193" t="s">
        <v>436</v>
      </c>
      <c r="C19" s="220">
        <v>3861</v>
      </c>
      <c r="D19" s="222">
        <f t="shared" si="0"/>
        <v>3.1899696316708714E-5</v>
      </c>
    </row>
    <row r="20" spans="1:4">
      <c r="A20" s="192">
        <v>7</v>
      </c>
      <c r="B20" s="193" t="s">
        <v>433</v>
      </c>
      <c r="C20" s="219">
        <f>SUM(C18:C19)</f>
        <v>17680621</v>
      </c>
      <c r="D20" s="221">
        <f t="shared" si="0"/>
        <v>0.14607781419083726</v>
      </c>
    </row>
    <row r="21" spans="1:4">
      <c r="A21" s="192"/>
      <c r="B21" s="193"/>
      <c r="C21" s="219"/>
      <c r="D21" s="193"/>
    </row>
    <row r="22" spans="1:4" ht="15.6" thickBot="1">
      <c r="A22" s="192">
        <v>8</v>
      </c>
      <c r="B22" s="193" t="s">
        <v>9</v>
      </c>
      <c r="C22" s="223">
        <f>C11+C13+C15+C20</f>
        <v>121035635</v>
      </c>
      <c r="D22" s="224">
        <f>D11+D13+D15+D20</f>
        <v>1</v>
      </c>
    </row>
    <row r="23" spans="1:4" ht="15.6" thickTop="1">
      <c r="A23" s="181"/>
      <c r="B23" s="181"/>
      <c r="C23" s="181"/>
      <c r="D23" s="181"/>
    </row>
  </sheetData>
  <mergeCells count="1">
    <mergeCell ref="C7:D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workbookViewId="0">
      <selection activeCell="G9" sqref="G9"/>
    </sheetView>
  </sheetViews>
  <sheetFormatPr defaultRowHeight="15"/>
  <cols>
    <col min="1" max="1" width="6.81640625" customWidth="1"/>
    <col min="2" max="2" width="12.36328125" customWidth="1"/>
    <col min="3" max="3" width="4.81640625" customWidth="1"/>
    <col min="4" max="4" width="15.90625" bestFit="1" customWidth="1"/>
    <col min="5" max="8" width="15.90625" customWidth="1"/>
    <col min="9" max="9" width="16.90625" bestFit="1" customWidth="1"/>
  </cols>
  <sheetData>
    <row r="1" spans="1:9" ht="15.6">
      <c r="A1" s="161" t="s">
        <v>280</v>
      </c>
    </row>
    <row r="2" spans="1:9" ht="15.6">
      <c r="A2" s="161" t="s">
        <v>404</v>
      </c>
    </row>
    <row r="3" spans="1:9" ht="15.6">
      <c r="A3" s="161" t="s">
        <v>693</v>
      </c>
    </row>
    <row r="5" spans="1:9">
      <c r="B5" s="170" t="s">
        <v>411</v>
      </c>
      <c r="C5" s="170"/>
      <c r="D5" s="170" t="s">
        <v>412</v>
      </c>
      <c r="E5" s="170" t="s">
        <v>417</v>
      </c>
      <c r="F5" s="170" t="s">
        <v>413</v>
      </c>
      <c r="G5" s="170" t="s">
        <v>414</v>
      </c>
      <c r="H5" s="170" t="s">
        <v>415</v>
      </c>
      <c r="I5" s="170" t="s">
        <v>487</v>
      </c>
    </row>
    <row r="7" spans="1:9" ht="15.6">
      <c r="A7" s="171" t="s">
        <v>4</v>
      </c>
      <c r="B7" s="173"/>
      <c r="C7" s="174"/>
      <c r="D7" s="174"/>
      <c r="E7" s="174"/>
      <c r="F7" s="174"/>
      <c r="G7" s="174" t="s">
        <v>408</v>
      </c>
      <c r="H7" s="259"/>
      <c r="I7" s="175"/>
    </row>
    <row r="8" spans="1:9" ht="15.6">
      <c r="A8" s="172" t="s">
        <v>6</v>
      </c>
      <c r="B8" s="176" t="s">
        <v>405</v>
      </c>
      <c r="C8" s="177"/>
      <c r="D8" s="177" t="s">
        <v>406</v>
      </c>
      <c r="E8" s="177" t="s">
        <v>38</v>
      </c>
      <c r="F8" s="177" t="s">
        <v>407</v>
      </c>
      <c r="G8" s="189" t="s">
        <v>409</v>
      </c>
      <c r="H8" s="189" t="s">
        <v>532</v>
      </c>
      <c r="I8" s="178" t="s">
        <v>9</v>
      </c>
    </row>
    <row r="9" spans="1:9">
      <c r="A9" s="179">
        <v>1</v>
      </c>
      <c r="B9" s="195">
        <v>42705</v>
      </c>
      <c r="C9" s="182"/>
      <c r="D9" s="183">
        <v>10917296828</v>
      </c>
      <c r="E9" s="183">
        <v>1684303880</v>
      </c>
      <c r="F9" s="183">
        <v>3216036187</v>
      </c>
      <c r="G9" s="183">
        <v>507590131</v>
      </c>
      <c r="H9" s="183">
        <v>1415883677</v>
      </c>
      <c r="I9" s="184">
        <f>SUM(D9:H9)</f>
        <v>17741110703</v>
      </c>
    </row>
    <row r="10" spans="1:9">
      <c r="A10" s="180">
        <v>2</v>
      </c>
      <c r="B10" s="196">
        <v>42736</v>
      </c>
      <c r="C10" s="135"/>
      <c r="D10" s="185">
        <v>10921274601</v>
      </c>
      <c r="E10" s="185">
        <v>1688549081</v>
      </c>
      <c r="F10" s="185">
        <v>3223829358</v>
      </c>
      <c r="G10" s="185">
        <v>507590131</v>
      </c>
      <c r="H10" s="185">
        <v>1415883677</v>
      </c>
      <c r="I10" s="186">
        <f>SUM(D10:H10)</f>
        <v>17757126848</v>
      </c>
    </row>
    <row r="11" spans="1:9">
      <c r="A11" s="180">
        <v>3</v>
      </c>
      <c r="B11" s="196">
        <v>42767</v>
      </c>
      <c r="C11" s="135"/>
      <c r="D11" s="185">
        <v>10923378027</v>
      </c>
      <c r="E11" s="185">
        <v>1690454879</v>
      </c>
      <c r="F11" s="185">
        <v>3232664196</v>
      </c>
      <c r="G11" s="185">
        <v>507590131</v>
      </c>
      <c r="H11" s="185">
        <v>1415883677</v>
      </c>
      <c r="I11" s="186">
        <f>SUM(D11:H11)</f>
        <v>17769970910</v>
      </c>
    </row>
    <row r="12" spans="1:9">
      <c r="A12" s="180">
        <v>4</v>
      </c>
      <c r="B12" s="196">
        <v>42795</v>
      </c>
      <c r="C12" s="135"/>
      <c r="D12" s="185">
        <v>10929862932</v>
      </c>
      <c r="E12" s="185">
        <v>1700617783</v>
      </c>
      <c r="F12" s="185">
        <v>3242519577</v>
      </c>
      <c r="G12" s="185">
        <v>507590131</v>
      </c>
      <c r="H12" s="185">
        <v>1415883677</v>
      </c>
      <c r="I12" s="186">
        <f t="shared" ref="I12:I21" si="0">SUM(D12:H12)</f>
        <v>17796474100</v>
      </c>
    </row>
    <row r="13" spans="1:9">
      <c r="A13" s="180">
        <v>5</v>
      </c>
      <c r="B13" s="196">
        <v>42826</v>
      </c>
      <c r="C13" s="135"/>
      <c r="D13" s="185">
        <v>10935921194</v>
      </c>
      <c r="E13" s="185">
        <v>1764304467</v>
      </c>
      <c r="F13" s="185">
        <v>3267119720</v>
      </c>
      <c r="G13" s="185">
        <v>507590131</v>
      </c>
      <c r="H13" s="185">
        <v>1415883677</v>
      </c>
      <c r="I13" s="186">
        <f t="shared" si="0"/>
        <v>17890819189</v>
      </c>
    </row>
    <row r="14" spans="1:9">
      <c r="A14" s="180">
        <v>6</v>
      </c>
      <c r="B14" s="196">
        <v>42856</v>
      </c>
      <c r="C14" s="135"/>
      <c r="D14" s="185">
        <v>10942451138</v>
      </c>
      <c r="E14" s="185">
        <v>1772571554</v>
      </c>
      <c r="F14" s="185">
        <v>3279354295</v>
      </c>
      <c r="G14" s="185">
        <v>507590131</v>
      </c>
      <c r="H14" s="185">
        <v>1415883677</v>
      </c>
      <c r="I14" s="186">
        <f t="shared" si="0"/>
        <v>17917850795</v>
      </c>
    </row>
    <row r="15" spans="1:9">
      <c r="A15" s="180">
        <v>7</v>
      </c>
      <c r="B15" s="196">
        <v>42887</v>
      </c>
      <c r="C15" s="135"/>
      <c r="D15" s="185">
        <v>10953564118</v>
      </c>
      <c r="E15" s="185">
        <v>1785922828</v>
      </c>
      <c r="F15" s="185">
        <v>3297338308</v>
      </c>
      <c r="G15" s="185">
        <v>507590131</v>
      </c>
      <c r="H15" s="185">
        <v>1415883677</v>
      </c>
      <c r="I15" s="186">
        <f t="shared" si="0"/>
        <v>17960299062</v>
      </c>
    </row>
    <row r="16" spans="1:9">
      <c r="A16" s="180">
        <v>8</v>
      </c>
      <c r="B16" s="196">
        <v>42917</v>
      </c>
      <c r="C16" s="135"/>
      <c r="D16" s="185">
        <v>10959114563</v>
      </c>
      <c r="E16" s="185">
        <v>1787886659</v>
      </c>
      <c r="F16" s="185">
        <v>3315513231</v>
      </c>
      <c r="G16" s="185">
        <v>507590131</v>
      </c>
      <c r="H16" s="185">
        <v>1415883677</v>
      </c>
      <c r="I16" s="186">
        <f t="shared" si="0"/>
        <v>17985988261</v>
      </c>
    </row>
    <row r="17" spans="1:9">
      <c r="A17" s="180">
        <v>9</v>
      </c>
      <c r="B17" s="196">
        <v>42948</v>
      </c>
      <c r="C17" s="135"/>
      <c r="D17" s="185">
        <v>10963769279</v>
      </c>
      <c r="E17" s="185">
        <v>1789425178</v>
      </c>
      <c r="F17" s="185">
        <v>3328371858</v>
      </c>
      <c r="G17" s="185">
        <v>507590131</v>
      </c>
      <c r="H17" s="185">
        <v>1415883677</v>
      </c>
      <c r="I17" s="186">
        <f t="shared" si="0"/>
        <v>18005040123</v>
      </c>
    </row>
    <row r="18" spans="1:9">
      <c r="A18" s="180">
        <v>10</v>
      </c>
      <c r="B18" s="196">
        <v>42979</v>
      </c>
      <c r="C18" s="135"/>
      <c r="D18" s="185">
        <v>10980394889</v>
      </c>
      <c r="E18" s="185">
        <v>1791175689</v>
      </c>
      <c r="F18" s="185">
        <v>3343483037</v>
      </c>
      <c r="G18" s="185">
        <v>507590131</v>
      </c>
      <c r="H18" s="185">
        <v>1415883677</v>
      </c>
      <c r="I18" s="186">
        <f t="shared" si="0"/>
        <v>18038527423</v>
      </c>
    </row>
    <row r="19" spans="1:9">
      <c r="A19" s="180">
        <v>11</v>
      </c>
      <c r="B19" s="196">
        <v>43009</v>
      </c>
      <c r="C19" s="135"/>
      <c r="D19" s="185">
        <v>10984165253</v>
      </c>
      <c r="E19" s="185">
        <v>1796036143</v>
      </c>
      <c r="F19" s="185">
        <v>3362013025</v>
      </c>
      <c r="G19" s="185">
        <v>507590131</v>
      </c>
      <c r="H19" s="185">
        <v>1415883677</v>
      </c>
      <c r="I19" s="186">
        <f t="shared" si="0"/>
        <v>18065688229</v>
      </c>
    </row>
    <row r="20" spans="1:9">
      <c r="A20" s="180">
        <v>12</v>
      </c>
      <c r="B20" s="196">
        <v>43040</v>
      </c>
      <c r="C20" s="135"/>
      <c r="D20" s="185">
        <v>11025481824</v>
      </c>
      <c r="E20" s="185">
        <v>1800005875</v>
      </c>
      <c r="F20" s="185">
        <v>3375831680</v>
      </c>
      <c r="G20" s="185">
        <v>507590131</v>
      </c>
      <c r="H20" s="185">
        <v>1415883677</v>
      </c>
      <c r="I20" s="186">
        <f t="shared" si="0"/>
        <v>18124793187</v>
      </c>
    </row>
    <row r="21" spans="1:9">
      <c r="A21" s="180">
        <v>13</v>
      </c>
      <c r="B21" s="196">
        <v>43070</v>
      </c>
      <c r="C21" s="135"/>
      <c r="D21" s="185">
        <v>11608393538</v>
      </c>
      <c r="E21" s="185">
        <v>1803824787</v>
      </c>
      <c r="F21" s="185">
        <v>3391082522</v>
      </c>
      <c r="G21" s="185">
        <v>507590131</v>
      </c>
      <c r="H21" s="185">
        <v>1415883677</v>
      </c>
      <c r="I21" s="186">
        <f t="shared" si="0"/>
        <v>18726774655</v>
      </c>
    </row>
    <row r="22" spans="1:9">
      <c r="A22" s="180">
        <v>14</v>
      </c>
      <c r="B22" s="132"/>
      <c r="C22" s="135"/>
      <c r="D22" s="135"/>
      <c r="E22" s="135"/>
      <c r="F22" s="135"/>
      <c r="G22" s="135"/>
      <c r="H22" s="135"/>
      <c r="I22" s="186"/>
    </row>
    <row r="23" spans="1:9" ht="15.6">
      <c r="A23" s="180">
        <v>15</v>
      </c>
      <c r="B23" s="132" t="s">
        <v>410</v>
      </c>
      <c r="C23" s="135"/>
      <c r="D23" s="227">
        <f>AVERAGE(D9:D21)</f>
        <v>11003466783.384615</v>
      </c>
      <c r="E23" s="227">
        <f>AVERAGE(E9:E21)</f>
        <v>1758082984.8461537</v>
      </c>
      <c r="F23" s="227">
        <f>AVERAGE(F9:F21)</f>
        <v>3298088999.5384617</v>
      </c>
      <c r="G23" s="227">
        <f>AVERAGE(G9:G21)</f>
        <v>507590131</v>
      </c>
      <c r="H23" s="227">
        <f t="shared" ref="H23:I23" si="1">AVERAGE(H9:H21)</f>
        <v>1415883677</v>
      </c>
      <c r="I23" s="228">
        <f t="shared" si="1"/>
        <v>17983112575.76923</v>
      </c>
    </row>
    <row r="24" spans="1:9">
      <c r="A24" s="181"/>
      <c r="B24" s="187"/>
      <c r="C24" s="162"/>
      <c r="D24" s="162"/>
      <c r="E24" s="162"/>
      <c r="F24" s="162"/>
      <c r="G24" s="162"/>
      <c r="H24" s="162"/>
      <c r="I24" s="188"/>
    </row>
  </sheetData>
  <pageMargins left="0.7" right="0.7" top="0.75" bottom="0.75" header="0.3" footer="0.3"/>
  <pageSetup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4" sqref="A4"/>
    </sheetView>
  </sheetViews>
  <sheetFormatPr defaultRowHeight="15"/>
  <cols>
    <col min="1" max="1" width="6.81640625" customWidth="1"/>
    <col min="2" max="2" width="21.6328125" customWidth="1"/>
    <col min="3" max="3" width="14.453125" bestFit="1" customWidth="1"/>
  </cols>
  <sheetData>
    <row r="1" spans="1:3" ht="15.6">
      <c r="A1" s="161" t="s">
        <v>280</v>
      </c>
    </row>
    <row r="2" spans="1:3" ht="15.6">
      <c r="A2" s="161" t="s">
        <v>533</v>
      </c>
    </row>
    <row r="3" spans="1:3" ht="15.6">
      <c r="A3" s="161" t="s">
        <v>694</v>
      </c>
    </row>
    <row r="5" spans="1:3">
      <c r="B5" s="170" t="s">
        <v>411</v>
      </c>
      <c r="C5" s="170" t="s">
        <v>412</v>
      </c>
    </row>
    <row r="7" spans="1:3">
      <c r="A7" s="171" t="s">
        <v>4</v>
      </c>
      <c r="B7" s="210"/>
      <c r="C7" s="216"/>
    </row>
    <row r="8" spans="1:3" ht="15.6">
      <c r="A8" s="172" t="s">
        <v>6</v>
      </c>
      <c r="B8" s="200" t="s">
        <v>533</v>
      </c>
      <c r="C8" s="188"/>
    </row>
    <row r="9" spans="1:3">
      <c r="A9" s="191">
        <v>1</v>
      </c>
      <c r="B9" s="261" t="s">
        <v>533</v>
      </c>
      <c r="C9" s="184">
        <v>0</v>
      </c>
    </row>
    <row r="10" spans="1:3">
      <c r="A10" s="192"/>
      <c r="B10" s="264"/>
      <c r="C10" s="186"/>
    </row>
    <row r="11" spans="1:3">
      <c r="A11" s="192">
        <v>2</v>
      </c>
      <c r="B11" s="262" t="s">
        <v>534</v>
      </c>
      <c r="C11" s="186">
        <v>0</v>
      </c>
    </row>
    <row r="12" spans="1:3">
      <c r="A12" s="192"/>
      <c r="B12" s="264"/>
      <c r="C12" s="186"/>
    </row>
    <row r="13" spans="1:3">
      <c r="A13" s="181"/>
      <c r="B13" s="187"/>
      <c r="C13" s="188"/>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15" sqref="C15"/>
    </sheetView>
  </sheetViews>
  <sheetFormatPr defaultRowHeight="15"/>
  <cols>
    <col min="1" max="1" width="6.81640625" customWidth="1"/>
    <col min="2" max="3" width="16.453125" customWidth="1"/>
  </cols>
  <sheetData>
    <row r="1" spans="1:3" ht="15.6">
      <c r="A1" s="161" t="s">
        <v>280</v>
      </c>
    </row>
    <row r="2" spans="1:3" ht="15.6">
      <c r="A2" s="161" t="s">
        <v>437</v>
      </c>
    </row>
    <row r="3" spans="1:3" ht="15.6">
      <c r="A3" s="161" t="s">
        <v>693</v>
      </c>
    </row>
    <row r="5" spans="1:3">
      <c r="B5" s="170" t="s">
        <v>411</v>
      </c>
      <c r="C5" s="170" t="s">
        <v>412</v>
      </c>
    </row>
    <row r="7" spans="1:3" ht="15.6">
      <c r="A7" s="171" t="s">
        <v>4</v>
      </c>
      <c r="B7" s="198"/>
      <c r="C7" s="175"/>
    </row>
    <row r="8" spans="1:3" ht="15.6">
      <c r="A8" s="172" t="s">
        <v>6</v>
      </c>
      <c r="B8" s="200" t="s">
        <v>405</v>
      </c>
      <c r="C8" s="178" t="s">
        <v>437</v>
      </c>
    </row>
    <row r="9" spans="1:3">
      <c r="A9" s="191">
        <v>1</v>
      </c>
      <c r="B9" s="195">
        <v>42705</v>
      </c>
      <c r="C9" s="202">
        <v>5166313451</v>
      </c>
    </row>
    <row r="10" spans="1:3">
      <c r="A10" s="192">
        <v>2</v>
      </c>
      <c r="B10" s="196">
        <v>42736</v>
      </c>
      <c r="C10" s="204">
        <v>5225116648</v>
      </c>
    </row>
    <row r="11" spans="1:3">
      <c r="A11" s="192">
        <v>3</v>
      </c>
      <c r="B11" s="196">
        <v>42767</v>
      </c>
      <c r="C11" s="204">
        <v>5263545266</v>
      </c>
    </row>
    <row r="12" spans="1:3">
      <c r="A12" s="192">
        <v>4</v>
      </c>
      <c r="B12" s="196">
        <v>42795</v>
      </c>
      <c r="C12" s="204">
        <v>5288593473</v>
      </c>
    </row>
    <row r="13" spans="1:3">
      <c r="A13" s="192">
        <v>5</v>
      </c>
      <c r="B13" s="196">
        <v>42826</v>
      </c>
      <c r="C13" s="204">
        <v>5266393866</v>
      </c>
    </row>
    <row r="14" spans="1:3">
      <c r="A14" s="192">
        <v>6</v>
      </c>
      <c r="B14" s="196">
        <v>42856</v>
      </c>
      <c r="C14" s="204">
        <v>5271247143</v>
      </c>
    </row>
    <row r="15" spans="1:3">
      <c r="A15" s="192">
        <v>7</v>
      </c>
      <c r="B15" s="196">
        <v>42887</v>
      </c>
      <c r="C15" s="204">
        <v>5230898521</v>
      </c>
    </row>
    <row r="16" spans="1:3">
      <c r="A16" s="192">
        <v>8</v>
      </c>
      <c r="B16" s="196">
        <v>42917</v>
      </c>
      <c r="C16" s="204">
        <v>5370879217</v>
      </c>
    </row>
    <row r="17" spans="1:3">
      <c r="A17" s="192">
        <v>9</v>
      </c>
      <c r="B17" s="196">
        <v>42948</v>
      </c>
      <c r="C17" s="204">
        <v>5515400417</v>
      </c>
    </row>
    <row r="18" spans="1:3">
      <c r="A18" s="192">
        <v>10</v>
      </c>
      <c r="B18" s="196">
        <v>42979</v>
      </c>
      <c r="C18" s="204">
        <v>5590690708</v>
      </c>
    </row>
    <row r="19" spans="1:3">
      <c r="A19" s="192">
        <v>11</v>
      </c>
      <c r="B19" s="196">
        <v>43009</v>
      </c>
      <c r="C19" s="204">
        <v>5554981304</v>
      </c>
    </row>
    <row r="20" spans="1:3">
      <c r="A20" s="192">
        <v>12</v>
      </c>
      <c r="B20" s="196">
        <v>43040</v>
      </c>
      <c r="C20" s="204">
        <v>5562014102</v>
      </c>
    </row>
    <row r="21" spans="1:3">
      <c r="A21" s="192">
        <v>13</v>
      </c>
      <c r="B21" s="196">
        <v>43070</v>
      </c>
      <c r="C21" s="204">
        <v>5526194905</v>
      </c>
    </row>
    <row r="22" spans="1:3" ht="15.6" thickBot="1">
      <c r="A22" s="192">
        <v>14</v>
      </c>
      <c r="B22" s="132"/>
      <c r="C22" s="212"/>
    </row>
    <row r="23" spans="1:3" ht="15.6">
      <c r="A23" s="192">
        <v>15</v>
      </c>
      <c r="B23" s="206" t="s">
        <v>410</v>
      </c>
      <c r="C23" s="213">
        <f t="shared" ref="C23" si="0">AVERAGE(C9:C21)</f>
        <v>5371713001.6153851</v>
      </c>
    </row>
    <row r="24" spans="1:3">
      <c r="A24" s="181"/>
      <c r="B24" s="187"/>
      <c r="C24" s="18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4" sqref="A4"/>
    </sheetView>
  </sheetViews>
  <sheetFormatPr defaultRowHeight="15"/>
  <cols>
    <col min="1" max="1" width="6.81640625" customWidth="1"/>
    <col min="2" max="2" width="21.6328125" customWidth="1"/>
    <col min="3" max="3" width="22.453125" customWidth="1"/>
  </cols>
  <sheetData>
    <row r="1" spans="1:3" ht="15.6">
      <c r="A1" s="161" t="s">
        <v>280</v>
      </c>
    </row>
    <row r="2" spans="1:3" ht="15.6">
      <c r="A2" s="161" t="s">
        <v>545</v>
      </c>
    </row>
    <row r="3" spans="1:3" ht="15.6">
      <c r="A3" s="161" t="s">
        <v>694</v>
      </c>
    </row>
    <row r="5" spans="1:3">
      <c r="B5" s="170" t="s">
        <v>411</v>
      </c>
      <c r="C5" s="170" t="s">
        <v>412</v>
      </c>
    </row>
    <row r="7" spans="1:3">
      <c r="A7" s="171" t="s">
        <v>4</v>
      </c>
      <c r="B7" s="210"/>
      <c r="C7" s="216"/>
    </row>
    <row r="8" spans="1:3" ht="15.6">
      <c r="A8" s="172" t="s">
        <v>6</v>
      </c>
      <c r="B8" s="200" t="s">
        <v>546</v>
      </c>
      <c r="C8" s="188"/>
    </row>
    <row r="9" spans="1:3" ht="15.6">
      <c r="A9" s="171"/>
      <c r="B9" s="214"/>
      <c r="C9" s="216"/>
    </row>
    <row r="10" spans="1:3">
      <c r="A10" s="192">
        <v>1</v>
      </c>
      <c r="B10" s="273">
        <v>216.1</v>
      </c>
      <c r="C10" s="186">
        <v>0</v>
      </c>
    </row>
    <row r="11" spans="1:3">
      <c r="A11" s="181"/>
      <c r="B11" s="181"/>
      <c r="C11" s="188"/>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22" sqref="D22"/>
    </sheetView>
  </sheetViews>
  <sheetFormatPr defaultRowHeight="15"/>
  <cols>
    <col min="1" max="1" width="6.81640625" customWidth="1"/>
    <col min="2" max="3" width="16.453125" customWidth="1"/>
    <col min="4" max="4" width="13.90625" customWidth="1"/>
  </cols>
  <sheetData>
    <row r="1" spans="1:4" ht="15.6">
      <c r="A1" s="161" t="s">
        <v>280</v>
      </c>
    </row>
    <row r="2" spans="1:4" ht="15.6">
      <c r="A2" s="161" t="s">
        <v>438</v>
      </c>
    </row>
    <row r="3" spans="1:4" ht="15.6">
      <c r="A3" s="161" t="s">
        <v>693</v>
      </c>
    </row>
    <row r="5" spans="1:4">
      <c r="B5" s="170" t="s">
        <v>411</v>
      </c>
      <c r="C5" s="170" t="s">
        <v>412</v>
      </c>
      <c r="D5" s="170" t="s">
        <v>417</v>
      </c>
    </row>
    <row r="7" spans="1:4" ht="15.6">
      <c r="A7" s="230" t="s">
        <v>4</v>
      </c>
      <c r="B7" s="198"/>
      <c r="C7" s="232"/>
      <c r="D7" s="199" t="s">
        <v>440</v>
      </c>
    </row>
    <row r="8" spans="1:4" ht="15.6">
      <c r="A8" s="231" t="s">
        <v>6</v>
      </c>
      <c r="B8" s="200" t="s">
        <v>405</v>
      </c>
      <c r="C8" s="177" t="s">
        <v>439</v>
      </c>
      <c r="D8" s="274">
        <v>2016</v>
      </c>
    </row>
    <row r="9" spans="1:4">
      <c r="A9" s="194">
        <v>1</v>
      </c>
      <c r="B9" s="196">
        <v>42705</v>
      </c>
      <c r="C9" s="203">
        <v>4344225520</v>
      </c>
      <c r="D9" s="186">
        <v>0</v>
      </c>
    </row>
    <row r="10" spans="1:4">
      <c r="A10" s="229">
        <v>2</v>
      </c>
      <c r="B10" s="196">
        <v>42736</v>
      </c>
      <c r="C10" s="203">
        <v>4344225520</v>
      </c>
      <c r="D10" s="186">
        <v>16002000</v>
      </c>
    </row>
    <row r="11" spans="1:4">
      <c r="A11" s="229">
        <v>3</v>
      </c>
      <c r="B11" s="196">
        <v>42767</v>
      </c>
      <c r="C11" s="203">
        <v>4344225520</v>
      </c>
      <c r="D11" s="186">
        <v>16009000</v>
      </c>
    </row>
    <row r="12" spans="1:4">
      <c r="A12" s="229">
        <v>4</v>
      </c>
      <c r="B12" s="196">
        <v>42795</v>
      </c>
      <c r="C12" s="203">
        <v>5015325520</v>
      </c>
      <c r="D12" s="186">
        <v>16007000</v>
      </c>
    </row>
    <row r="13" spans="1:4">
      <c r="A13" s="229">
        <v>5</v>
      </c>
      <c r="B13" s="196">
        <v>42826</v>
      </c>
      <c r="C13" s="203">
        <v>5015325520</v>
      </c>
      <c r="D13" s="186">
        <v>17955000</v>
      </c>
    </row>
    <row r="14" spans="1:4">
      <c r="A14" s="229">
        <v>6</v>
      </c>
      <c r="B14" s="196">
        <v>42856</v>
      </c>
      <c r="C14" s="203">
        <v>5015325520</v>
      </c>
      <c r="D14" s="186">
        <v>17958000</v>
      </c>
    </row>
    <row r="15" spans="1:4">
      <c r="A15" s="229">
        <v>7</v>
      </c>
      <c r="B15" s="196">
        <v>42887</v>
      </c>
      <c r="C15" s="203">
        <v>5015325520</v>
      </c>
      <c r="D15" s="186">
        <v>17991000</v>
      </c>
    </row>
    <row r="16" spans="1:4">
      <c r="A16" s="229">
        <v>8</v>
      </c>
      <c r="B16" s="196">
        <v>42917</v>
      </c>
      <c r="C16" s="203">
        <v>4765325520</v>
      </c>
      <c r="D16" s="186">
        <v>17332000</v>
      </c>
    </row>
    <row r="17" spans="1:4">
      <c r="A17" s="229">
        <v>9</v>
      </c>
      <c r="B17" s="196">
        <v>42948</v>
      </c>
      <c r="C17" s="203">
        <v>4765325520</v>
      </c>
      <c r="D17" s="186">
        <v>16758000</v>
      </c>
    </row>
    <row r="18" spans="1:4">
      <c r="A18" s="229">
        <v>10</v>
      </c>
      <c r="B18" s="196">
        <v>42979</v>
      </c>
      <c r="C18" s="203">
        <v>4815325520</v>
      </c>
      <c r="D18" s="186">
        <v>16800000</v>
      </c>
    </row>
    <row r="19" spans="1:4">
      <c r="A19" s="229">
        <v>11</v>
      </c>
      <c r="B19" s="196">
        <v>43009</v>
      </c>
      <c r="C19" s="203">
        <v>4815325520</v>
      </c>
      <c r="D19" s="186">
        <v>16805000</v>
      </c>
    </row>
    <row r="20" spans="1:4">
      <c r="A20" s="229">
        <v>12</v>
      </c>
      <c r="B20" s="196">
        <v>43040</v>
      </c>
      <c r="C20" s="203">
        <v>4815325520</v>
      </c>
      <c r="D20" s="186">
        <v>16806000</v>
      </c>
    </row>
    <row r="21" spans="1:4">
      <c r="A21" s="229">
        <v>13</v>
      </c>
      <c r="B21" s="196">
        <v>43070</v>
      </c>
      <c r="C21" s="203">
        <v>4815325520</v>
      </c>
      <c r="D21" s="186">
        <v>16812000</v>
      </c>
    </row>
    <row r="22" spans="1:4" ht="15.6" thickBot="1">
      <c r="A22" s="229">
        <v>14</v>
      </c>
      <c r="B22" s="132"/>
      <c r="C22" s="233"/>
      <c r="D22" s="212"/>
    </row>
    <row r="23" spans="1:4" ht="15.6">
      <c r="A23" s="229">
        <v>15</v>
      </c>
      <c r="B23" s="206" t="s">
        <v>410</v>
      </c>
      <c r="C23" s="207">
        <f t="shared" ref="C23" si="0">AVERAGE(C9:C21)</f>
        <v>4760456289.2307692</v>
      </c>
      <c r="D23" s="134"/>
    </row>
    <row r="24" spans="1:4" ht="15.6">
      <c r="A24" s="229">
        <v>16</v>
      </c>
      <c r="B24" s="132" t="s">
        <v>441</v>
      </c>
      <c r="C24" s="135"/>
      <c r="D24" s="228">
        <f>SUM(D9:D23)</f>
        <v>203235000</v>
      </c>
    </row>
    <row r="25" spans="1:4">
      <c r="A25" s="187"/>
      <c r="B25" s="187"/>
      <c r="C25" s="162"/>
      <c r="D25" s="188"/>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topLeftCell="A25" workbookViewId="0">
      <selection activeCell="K41" sqref="K41"/>
    </sheetView>
  </sheetViews>
  <sheetFormatPr defaultRowHeight="15"/>
  <cols>
    <col min="1" max="1" width="5.08984375" customWidth="1"/>
    <col min="7" max="7" width="9.81640625" customWidth="1"/>
    <col min="8" max="8" width="11.81640625" customWidth="1"/>
    <col min="9" max="9" width="9.54296875" customWidth="1"/>
    <col min="10" max="11" width="13" customWidth="1"/>
  </cols>
  <sheetData>
    <row r="1" spans="1:11" ht="15.6">
      <c r="A1" s="138" t="s">
        <v>280</v>
      </c>
      <c r="B1" s="139"/>
      <c r="C1" s="139"/>
      <c r="D1" s="139"/>
      <c r="E1" s="139"/>
      <c r="F1" s="139"/>
      <c r="G1" s="139"/>
      <c r="H1" s="139"/>
      <c r="I1" s="139"/>
      <c r="J1" s="139"/>
      <c r="K1" s="140"/>
    </row>
    <row r="2" spans="1:11" ht="15.6">
      <c r="A2" s="138" t="s">
        <v>281</v>
      </c>
      <c r="B2" s="139"/>
      <c r="C2" s="139"/>
      <c r="D2" s="139"/>
      <c r="E2" s="139"/>
      <c r="F2" s="139"/>
      <c r="G2" s="139"/>
      <c r="H2" s="139"/>
      <c r="I2" s="139"/>
      <c r="J2" s="139"/>
      <c r="K2" s="141"/>
    </row>
    <row r="3" spans="1:11" ht="15.6">
      <c r="A3" s="138" t="s">
        <v>696</v>
      </c>
      <c r="B3" s="139"/>
      <c r="C3" s="139"/>
      <c r="D3" s="139"/>
      <c r="E3" s="139"/>
      <c r="F3" s="139"/>
      <c r="G3" s="139"/>
      <c r="H3" s="139"/>
      <c r="I3" s="139"/>
      <c r="J3" s="139"/>
      <c r="K3" s="141"/>
    </row>
    <row r="4" spans="1:11">
      <c r="A4" s="141"/>
      <c r="B4" s="141"/>
      <c r="C4" s="141"/>
      <c r="D4" s="141"/>
      <c r="E4" s="141"/>
      <c r="F4" s="141"/>
      <c r="G4" s="141"/>
      <c r="H4" s="141"/>
      <c r="I4" s="141"/>
      <c r="J4" s="141"/>
      <c r="K4" s="141"/>
    </row>
    <row r="5" spans="1:11">
      <c r="A5" s="141"/>
      <c r="B5" s="141"/>
      <c r="C5" s="141"/>
      <c r="D5" s="141"/>
      <c r="E5" s="141"/>
      <c r="F5" s="141"/>
      <c r="G5" s="141"/>
      <c r="H5" s="141"/>
      <c r="I5" s="141"/>
      <c r="J5" s="141"/>
      <c r="K5" s="141"/>
    </row>
    <row r="6" spans="1:11">
      <c r="A6" s="142" t="s">
        <v>4</v>
      </c>
      <c r="B6" s="141"/>
      <c r="C6" s="141"/>
      <c r="D6" s="141"/>
      <c r="E6" s="141"/>
      <c r="F6" s="141"/>
      <c r="G6" s="141"/>
      <c r="H6" s="141"/>
      <c r="I6" s="141"/>
      <c r="J6" s="141"/>
      <c r="K6" s="141"/>
    </row>
    <row r="7" spans="1:11">
      <c r="A7" s="142">
        <v>1</v>
      </c>
      <c r="B7" s="141" t="s">
        <v>697</v>
      </c>
      <c r="C7" s="141"/>
      <c r="D7" s="141"/>
      <c r="E7" s="141"/>
      <c r="F7" s="141"/>
      <c r="G7" s="141"/>
      <c r="H7" s="141"/>
      <c r="I7" s="141"/>
      <c r="J7" s="143"/>
      <c r="K7" s="143">
        <f>22692386+226274+63429167</f>
        <v>86347827</v>
      </c>
    </row>
    <row r="8" spans="1:11">
      <c r="A8" s="141"/>
      <c r="B8" s="141"/>
      <c r="C8" s="141"/>
      <c r="D8" s="141"/>
      <c r="E8" s="141"/>
      <c r="F8" s="141"/>
      <c r="G8" s="141"/>
      <c r="H8" s="141"/>
      <c r="I8" s="141"/>
      <c r="J8" s="141"/>
      <c r="K8" s="141"/>
    </row>
    <row r="9" spans="1:11">
      <c r="A9" s="141"/>
      <c r="B9" s="141"/>
      <c r="C9" s="141"/>
      <c r="D9" s="141"/>
      <c r="E9" s="141"/>
      <c r="F9" s="141"/>
      <c r="G9" s="141"/>
      <c r="H9" s="141"/>
      <c r="I9" s="142" t="s">
        <v>282</v>
      </c>
      <c r="J9" s="141"/>
      <c r="K9" s="141"/>
    </row>
    <row r="10" spans="1:11" ht="15.6">
      <c r="A10" s="141"/>
      <c r="B10" s="144" t="s">
        <v>283</v>
      </c>
      <c r="C10" s="141"/>
      <c r="D10" s="141"/>
      <c r="E10" s="141"/>
      <c r="F10" s="141"/>
      <c r="G10" s="141"/>
      <c r="H10" s="141"/>
      <c r="I10" s="141"/>
      <c r="J10" s="142" t="s">
        <v>284</v>
      </c>
      <c r="K10" s="141"/>
    </row>
    <row r="11" spans="1:11" ht="15.6">
      <c r="A11" s="141"/>
      <c r="B11" s="144"/>
      <c r="C11" s="141"/>
      <c r="D11" s="141"/>
      <c r="E11" s="141"/>
      <c r="F11" s="141"/>
      <c r="G11" s="141"/>
      <c r="H11" s="141"/>
      <c r="I11" s="142" t="s">
        <v>285</v>
      </c>
      <c r="J11" s="142" t="s">
        <v>286</v>
      </c>
      <c r="K11" s="141"/>
    </row>
    <row r="12" spans="1:11">
      <c r="A12" s="142">
        <v>2</v>
      </c>
      <c r="B12" s="141" t="s">
        <v>287</v>
      </c>
      <c r="C12" s="141"/>
      <c r="D12" s="141"/>
      <c r="E12" s="141"/>
      <c r="F12" s="141"/>
      <c r="G12" s="141"/>
      <c r="H12" s="141"/>
      <c r="I12" s="145">
        <v>1269</v>
      </c>
      <c r="J12" s="146">
        <v>0</v>
      </c>
      <c r="K12" s="141"/>
    </row>
    <row r="13" spans="1:11">
      <c r="A13" s="142">
        <v>3</v>
      </c>
      <c r="B13" s="141" t="s">
        <v>624</v>
      </c>
      <c r="C13" s="141"/>
      <c r="D13" s="141"/>
      <c r="E13" s="141"/>
      <c r="F13" s="141"/>
      <c r="G13" s="141"/>
      <c r="H13" s="141"/>
      <c r="I13" s="145">
        <v>104860</v>
      </c>
      <c r="J13" s="146">
        <v>0</v>
      </c>
      <c r="K13" s="141"/>
    </row>
    <row r="14" spans="1:11">
      <c r="A14" s="142">
        <v>4</v>
      </c>
      <c r="B14" s="141" t="s">
        <v>288</v>
      </c>
      <c r="C14" s="141"/>
      <c r="D14" s="141"/>
      <c r="E14" s="141" t="s">
        <v>496</v>
      </c>
      <c r="F14" s="141"/>
      <c r="G14" s="141"/>
      <c r="H14" s="141"/>
      <c r="I14" s="147">
        <v>19137</v>
      </c>
      <c r="J14" s="146">
        <v>0</v>
      </c>
      <c r="K14" s="141"/>
    </row>
    <row r="15" spans="1:11">
      <c r="A15" s="142">
        <v>5</v>
      </c>
      <c r="B15" s="141" t="s">
        <v>289</v>
      </c>
      <c r="C15" s="141"/>
      <c r="D15" s="141"/>
      <c r="E15" s="141" t="s">
        <v>496</v>
      </c>
      <c r="F15" s="141"/>
      <c r="G15" s="141"/>
      <c r="H15" s="141"/>
      <c r="I15" s="147">
        <v>82711</v>
      </c>
      <c r="J15" s="146">
        <v>0</v>
      </c>
      <c r="K15" s="141"/>
    </row>
    <row r="16" spans="1:11">
      <c r="A16" s="142">
        <v>6</v>
      </c>
      <c r="B16" s="141" t="s">
        <v>290</v>
      </c>
      <c r="C16" s="141"/>
      <c r="D16" s="141"/>
      <c r="E16" s="141"/>
      <c r="F16" s="141"/>
      <c r="G16" s="141"/>
      <c r="H16" s="141"/>
      <c r="I16" s="148">
        <v>811</v>
      </c>
      <c r="J16" s="146">
        <v>0</v>
      </c>
      <c r="K16" s="141"/>
    </row>
    <row r="17" spans="1:11">
      <c r="A17" s="142">
        <v>7</v>
      </c>
      <c r="B17" s="141" t="s">
        <v>291</v>
      </c>
      <c r="C17" s="141"/>
      <c r="D17" s="141"/>
      <c r="E17" s="141"/>
      <c r="F17" s="141"/>
      <c r="G17" s="141"/>
      <c r="H17" s="141"/>
      <c r="I17" s="148">
        <v>985</v>
      </c>
      <c r="J17" s="146">
        <v>0</v>
      </c>
      <c r="K17" s="141"/>
    </row>
    <row r="18" spans="1:11">
      <c r="A18" s="142">
        <v>8</v>
      </c>
      <c r="B18" s="141" t="s">
        <v>292</v>
      </c>
      <c r="C18" s="141"/>
      <c r="D18" s="141"/>
      <c r="E18" s="141"/>
      <c r="F18" s="141"/>
      <c r="G18" s="141"/>
      <c r="H18" s="141"/>
      <c r="I18" s="148">
        <v>3811</v>
      </c>
      <c r="J18" s="146">
        <v>0</v>
      </c>
      <c r="K18" s="141"/>
    </row>
    <row r="19" spans="1:11">
      <c r="A19" s="142">
        <v>9</v>
      </c>
      <c r="B19" s="141" t="s">
        <v>293</v>
      </c>
      <c r="C19" s="141"/>
      <c r="D19" s="141"/>
      <c r="E19" s="141"/>
      <c r="F19" s="141"/>
      <c r="G19" s="141"/>
      <c r="H19" s="141"/>
      <c r="I19" s="148">
        <v>2220</v>
      </c>
      <c r="J19" s="146">
        <v>0</v>
      </c>
      <c r="K19" s="141"/>
    </row>
    <row r="20" spans="1:11">
      <c r="A20" s="142">
        <v>10</v>
      </c>
      <c r="B20" s="141" t="s">
        <v>294</v>
      </c>
      <c r="C20" s="141"/>
      <c r="D20" s="141"/>
      <c r="E20" s="141"/>
      <c r="F20" s="141"/>
      <c r="G20" s="141"/>
      <c r="H20" s="141"/>
      <c r="I20" s="148">
        <v>876</v>
      </c>
      <c r="J20" s="146">
        <v>0</v>
      </c>
      <c r="K20" s="141"/>
    </row>
    <row r="21" spans="1:11">
      <c r="A21" s="142">
        <v>11</v>
      </c>
      <c r="B21" s="141" t="s">
        <v>295</v>
      </c>
      <c r="C21" s="141"/>
      <c r="D21" s="141"/>
      <c r="E21" s="141"/>
      <c r="F21" s="141"/>
      <c r="G21" s="141"/>
      <c r="H21" s="141"/>
      <c r="I21" s="148">
        <v>11572</v>
      </c>
      <c r="J21" s="146">
        <v>0</v>
      </c>
      <c r="K21" s="141"/>
    </row>
    <row r="22" spans="1:11">
      <c r="A22" s="142">
        <v>12</v>
      </c>
      <c r="B22" s="141" t="s">
        <v>296</v>
      </c>
      <c r="C22" s="141"/>
      <c r="D22" s="141"/>
      <c r="E22" s="141"/>
      <c r="F22" s="141"/>
      <c r="G22" s="141"/>
      <c r="H22" s="141"/>
      <c r="I22" s="148">
        <v>3406</v>
      </c>
      <c r="J22" s="146">
        <v>0</v>
      </c>
      <c r="K22" s="141"/>
    </row>
    <row r="23" spans="1:11">
      <c r="A23" s="142">
        <v>13</v>
      </c>
      <c r="B23" s="141" t="s">
        <v>297</v>
      </c>
      <c r="C23" s="141"/>
      <c r="D23" s="141"/>
      <c r="E23" s="141" t="s">
        <v>496</v>
      </c>
      <c r="F23" s="141"/>
      <c r="G23" s="141"/>
      <c r="H23" s="141"/>
      <c r="I23" s="148">
        <v>4944</v>
      </c>
      <c r="J23" s="146">
        <v>0</v>
      </c>
      <c r="K23" s="141"/>
    </row>
    <row r="24" spans="1:11">
      <c r="A24" s="142">
        <v>14</v>
      </c>
      <c r="B24" s="141" t="s">
        <v>298</v>
      </c>
      <c r="C24" s="141"/>
      <c r="D24" s="141"/>
      <c r="F24" s="141"/>
      <c r="G24" s="141"/>
      <c r="H24" s="141"/>
      <c r="I24" s="148">
        <v>6300</v>
      </c>
      <c r="J24" s="146">
        <v>0</v>
      </c>
      <c r="K24" s="141"/>
    </row>
    <row r="25" spans="1:11">
      <c r="A25" s="142">
        <v>15</v>
      </c>
      <c r="B25" s="141" t="s">
        <v>299</v>
      </c>
      <c r="C25" s="141"/>
      <c r="D25" s="141"/>
      <c r="E25" s="141"/>
      <c r="F25" s="141"/>
      <c r="G25" s="141"/>
      <c r="H25" s="141"/>
      <c r="I25" s="148">
        <v>1764</v>
      </c>
      <c r="J25" s="146">
        <v>0</v>
      </c>
      <c r="K25" s="141"/>
    </row>
    <row r="26" spans="1:11">
      <c r="A26" s="142">
        <v>16</v>
      </c>
      <c r="B26" s="141" t="s">
        <v>300</v>
      </c>
      <c r="C26" s="141"/>
      <c r="D26" s="141"/>
      <c r="E26" s="141"/>
      <c r="F26" s="141"/>
      <c r="G26" s="141"/>
      <c r="H26" s="141"/>
      <c r="I26" s="148">
        <v>1313</v>
      </c>
      <c r="J26" s="146">
        <v>0</v>
      </c>
      <c r="K26" s="141"/>
    </row>
    <row r="27" spans="1:11">
      <c r="A27" s="142">
        <v>17</v>
      </c>
      <c r="B27" s="141" t="s">
        <v>714</v>
      </c>
      <c r="C27" s="141"/>
      <c r="D27" s="141"/>
      <c r="E27" s="141"/>
      <c r="F27" s="141"/>
      <c r="G27" s="141"/>
      <c r="H27" s="141"/>
      <c r="I27" s="148">
        <v>368</v>
      </c>
      <c r="J27" s="146">
        <v>0</v>
      </c>
      <c r="K27" s="141"/>
    </row>
    <row r="28" spans="1:11">
      <c r="A28" s="142">
        <v>18</v>
      </c>
      <c r="B28" s="141" t="s">
        <v>301</v>
      </c>
      <c r="C28" s="141"/>
      <c r="D28" s="141"/>
      <c r="E28" s="141" t="s">
        <v>496</v>
      </c>
      <c r="F28" s="141"/>
      <c r="G28" s="141"/>
      <c r="H28" s="141"/>
      <c r="I28" s="148">
        <v>7195</v>
      </c>
      <c r="J28" s="146">
        <v>0</v>
      </c>
      <c r="K28" s="141"/>
    </row>
    <row r="29" spans="1:11">
      <c r="A29" s="142">
        <v>19</v>
      </c>
      <c r="B29" s="141" t="s">
        <v>302</v>
      </c>
      <c r="C29" s="141"/>
      <c r="D29" s="141"/>
      <c r="E29" s="141"/>
      <c r="F29" s="141"/>
      <c r="G29" s="141"/>
      <c r="H29" s="141"/>
      <c r="I29" s="148">
        <v>22456</v>
      </c>
      <c r="J29" s="146">
        <v>0</v>
      </c>
      <c r="K29" s="141"/>
    </row>
    <row r="30" spans="1:11">
      <c r="A30" s="142">
        <v>20</v>
      </c>
      <c r="B30" s="141" t="s">
        <v>303</v>
      </c>
      <c r="C30" s="141"/>
      <c r="D30" s="141"/>
      <c r="E30" s="141" t="s">
        <v>496</v>
      </c>
      <c r="F30" s="141"/>
      <c r="G30" s="141"/>
      <c r="H30" s="141"/>
      <c r="I30" s="148">
        <v>32781</v>
      </c>
      <c r="J30" s="146">
        <v>0</v>
      </c>
      <c r="K30" s="141"/>
    </row>
    <row r="31" spans="1:11">
      <c r="A31" s="142">
        <v>21</v>
      </c>
      <c r="B31" s="141" t="s">
        <v>304</v>
      </c>
      <c r="C31" s="141"/>
      <c r="D31" s="141"/>
      <c r="E31" s="141"/>
      <c r="F31" s="141"/>
      <c r="G31" s="141"/>
      <c r="H31" s="141"/>
      <c r="I31" s="148">
        <v>2448</v>
      </c>
      <c r="J31" s="146">
        <v>0</v>
      </c>
      <c r="K31" s="141"/>
    </row>
    <row r="32" spans="1:11">
      <c r="A32" s="142">
        <v>22</v>
      </c>
      <c r="B32" s="141" t="s">
        <v>305</v>
      </c>
      <c r="C32" s="141"/>
      <c r="D32" s="141"/>
      <c r="E32" s="141"/>
      <c r="F32" s="141"/>
      <c r="G32" s="141"/>
      <c r="H32" s="141"/>
      <c r="I32" s="149">
        <v>23811</v>
      </c>
      <c r="J32" s="146">
        <v>0</v>
      </c>
      <c r="K32" s="141"/>
    </row>
    <row r="33" spans="1:11">
      <c r="A33" s="142">
        <v>23</v>
      </c>
      <c r="B33" s="141" t="s">
        <v>400</v>
      </c>
      <c r="C33" s="141"/>
      <c r="D33" s="141"/>
      <c r="E33" s="141"/>
      <c r="F33" s="141"/>
      <c r="G33" s="141"/>
      <c r="H33" s="141"/>
      <c r="I33" s="150"/>
      <c r="J33" s="151">
        <v>1770907</v>
      </c>
      <c r="K33" s="141"/>
    </row>
    <row r="34" spans="1:11" ht="15.6">
      <c r="A34" s="142">
        <v>24</v>
      </c>
      <c r="B34" s="141"/>
      <c r="C34" s="141" t="s">
        <v>625</v>
      </c>
      <c r="D34" s="141"/>
      <c r="E34" s="141"/>
      <c r="F34" s="141"/>
      <c r="G34" s="141"/>
      <c r="H34" s="141"/>
      <c r="I34" s="148">
        <f>SUM(I12:I32)</f>
        <v>335038</v>
      </c>
      <c r="J34" s="152">
        <f>SUM(J12:J33)</f>
        <v>1770907</v>
      </c>
      <c r="K34" s="141"/>
    </row>
    <row r="35" spans="1:11">
      <c r="A35" s="142"/>
      <c r="B35" s="141"/>
      <c r="C35" s="141"/>
      <c r="D35" s="141"/>
      <c r="E35" s="141"/>
      <c r="F35" s="141"/>
      <c r="G35" s="141"/>
      <c r="H35" s="141"/>
      <c r="I35" s="153"/>
      <c r="J35" s="154"/>
      <c r="K35" s="141"/>
    </row>
    <row r="36" spans="1:11" ht="15.6">
      <c r="A36" s="142">
        <v>25</v>
      </c>
      <c r="B36" s="141" t="s">
        <v>617</v>
      </c>
      <c r="C36" s="141"/>
      <c r="D36" s="141"/>
      <c r="E36" s="141"/>
      <c r="F36" s="141"/>
      <c r="G36" s="141"/>
      <c r="H36" s="141"/>
      <c r="I36" s="148"/>
      <c r="J36" s="154"/>
      <c r="K36" s="358">
        <f>J34</f>
        <v>1770907</v>
      </c>
    </row>
    <row r="37" spans="1:11" ht="15.6">
      <c r="A37" s="141"/>
      <c r="B37" s="144"/>
      <c r="C37" s="141" t="s">
        <v>626</v>
      </c>
      <c r="D37" s="141"/>
      <c r="E37" s="141"/>
      <c r="F37" s="141"/>
      <c r="G37" s="141"/>
      <c r="H37" s="141"/>
      <c r="I37" s="141"/>
      <c r="J37" s="141"/>
      <c r="K37" s="141"/>
    </row>
    <row r="38" spans="1:11" ht="15.6">
      <c r="A38" s="142">
        <v>26</v>
      </c>
      <c r="B38" s="141" t="s">
        <v>618</v>
      </c>
      <c r="C38" s="141"/>
      <c r="D38" s="141"/>
      <c r="E38" s="141"/>
      <c r="F38" s="141"/>
      <c r="G38" s="141"/>
      <c r="H38" s="141"/>
      <c r="I38" s="141"/>
      <c r="J38" s="141"/>
      <c r="K38" s="359">
        <v>226274</v>
      </c>
    </row>
    <row r="39" spans="1:11" ht="15.6">
      <c r="A39" s="142"/>
      <c r="B39" s="144"/>
      <c r="C39" s="141"/>
      <c r="D39" s="141"/>
      <c r="E39" s="141"/>
      <c r="F39" s="141"/>
      <c r="G39" s="141"/>
      <c r="H39" s="141"/>
      <c r="I39" s="141"/>
      <c r="J39" s="141"/>
      <c r="K39" s="141"/>
    </row>
    <row r="40" spans="1:11" ht="15.6">
      <c r="A40" s="142">
        <v>27</v>
      </c>
      <c r="B40" s="141" t="s">
        <v>619</v>
      </c>
      <c r="C40" s="141"/>
      <c r="D40" s="141"/>
      <c r="E40" s="141"/>
      <c r="F40" s="141"/>
      <c r="G40" s="141"/>
      <c r="H40" s="141"/>
      <c r="I40" s="141"/>
      <c r="J40" s="141"/>
      <c r="K40" s="360">
        <v>63429167</v>
      </c>
    </row>
    <row r="41" spans="1:11" ht="15.6">
      <c r="A41" s="141"/>
      <c r="B41" s="144"/>
      <c r="C41" s="141"/>
      <c r="D41" s="141"/>
      <c r="E41" s="141"/>
      <c r="F41" s="141"/>
      <c r="G41" s="141"/>
      <c r="H41" s="141"/>
      <c r="I41" s="141"/>
      <c r="J41" s="141"/>
      <c r="K41" s="141"/>
    </row>
    <row r="42" spans="1:11" ht="16.2" thickBot="1">
      <c r="A42" s="142">
        <v>28</v>
      </c>
      <c r="B42" s="141" t="s">
        <v>306</v>
      </c>
      <c r="C42" s="141"/>
      <c r="D42" s="141"/>
      <c r="E42" s="141"/>
      <c r="F42" s="141"/>
      <c r="G42" s="141"/>
      <c r="H42" s="141"/>
      <c r="I42" s="141"/>
      <c r="J42" s="155"/>
      <c r="K42" s="156">
        <f>K7-K36-K38-K40</f>
        <v>20921479</v>
      </c>
    </row>
    <row r="43" spans="1:11" ht="15.6" thickTop="1">
      <c r="A43" s="141"/>
      <c r="B43" s="141"/>
      <c r="C43" s="141" t="s">
        <v>627</v>
      </c>
      <c r="D43" s="141"/>
      <c r="E43" s="141"/>
      <c r="F43" s="141"/>
      <c r="G43" s="141"/>
      <c r="H43" s="141"/>
      <c r="I43" s="141"/>
      <c r="J43" s="141"/>
      <c r="K43" s="141"/>
    </row>
  </sheetData>
  <pageMargins left="0.7" right="0.7" top="0.75" bottom="0.75" header="0.3" footer="0.3"/>
  <pageSetup scale="71"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
  <sheetViews>
    <sheetView zoomScale="80" zoomScaleNormal="80" workbookViewId="0">
      <selection activeCell="C6" sqref="C6:N6"/>
    </sheetView>
  </sheetViews>
  <sheetFormatPr defaultRowHeight="15"/>
  <cols>
    <col min="2" max="2" width="4.81640625" customWidth="1"/>
    <col min="3" max="3" width="10.1796875" customWidth="1"/>
    <col min="4" max="4" width="9.90625" customWidth="1"/>
    <col min="5" max="5" width="10" bestFit="1" customWidth="1"/>
    <col min="6" max="6" width="11" bestFit="1" customWidth="1"/>
    <col min="7" max="8" width="10" bestFit="1" customWidth="1"/>
    <col min="9" max="9" width="11" bestFit="1" customWidth="1"/>
    <col min="10" max="13" width="10" bestFit="1" customWidth="1"/>
    <col min="14" max="14" width="9" bestFit="1" customWidth="1"/>
    <col min="15" max="15" width="4.81640625" customWidth="1"/>
    <col min="16" max="16" width="11.08984375" customWidth="1"/>
    <col min="17" max="17" width="9.81640625" customWidth="1"/>
  </cols>
  <sheetData>
    <row r="1" spans="1:18" ht="15.6">
      <c r="A1" s="138" t="s">
        <v>280</v>
      </c>
    </row>
    <row r="2" spans="1:18" ht="15.6">
      <c r="A2" s="138" t="s">
        <v>307</v>
      </c>
    </row>
    <row r="3" spans="1:18" ht="15.6">
      <c r="A3" s="138" t="s">
        <v>698</v>
      </c>
    </row>
    <row r="6" spans="1:18">
      <c r="A6" s="137"/>
      <c r="B6" s="137"/>
      <c r="C6" s="159">
        <v>42736</v>
      </c>
      <c r="D6" s="159">
        <v>42767</v>
      </c>
      <c r="E6" s="159">
        <v>42795</v>
      </c>
      <c r="F6" s="159">
        <v>42826</v>
      </c>
      <c r="G6" s="159">
        <v>42856</v>
      </c>
      <c r="H6" s="159">
        <v>42887</v>
      </c>
      <c r="I6" s="159">
        <v>42917</v>
      </c>
      <c r="J6" s="159">
        <v>42948</v>
      </c>
      <c r="K6" s="159">
        <v>42979</v>
      </c>
      <c r="L6" s="159">
        <v>43009</v>
      </c>
      <c r="M6" s="159">
        <v>43040</v>
      </c>
      <c r="N6" s="159">
        <v>43070</v>
      </c>
      <c r="O6" s="137"/>
      <c r="P6" s="160" t="s">
        <v>9</v>
      </c>
      <c r="Q6" s="160"/>
      <c r="R6" s="137"/>
    </row>
    <row r="7" spans="1:18">
      <c r="A7" s="137"/>
      <c r="B7" s="137"/>
      <c r="C7" s="157"/>
      <c r="D7" s="157"/>
      <c r="E7" s="157"/>
      <c r="F7" s="157"/>
      <c r="G7" s="157"/>
      <c r="H7" s="157"/>
      <c r="I7" s="157"/>
      <c r="J7" s="157"/>
      <c r="K7" s="157"/>
      <c r="L7" s="157"/>
      <c r="M7" s="157"/>
      <c r="N7" s="157"/>
      <c r="O7" s="137"/>
      <c r="P7" s="137"/>
      <c r="Q7" s="137"/>
      <c r="R7" s="137"/>
    </row>
    <row r="8" spans="1:18">
      <c r="A8" s="137">
        <v>454042</v>
      </c>
      <c r="B8" s="137"/>
      <c r="C8" s="265">
        <v>2507.375</v>
      </c>
      <c r="D8" s="265">
        <v>2507.375</v>
      </c>
      <c r="E8" s="265">
        <v>2507.375</v>
      </c>
      <c r="F8" s="265">
        <v>179507.375</v>
      </c>
      <c r="G8" s="265">
        <v>2507.375</v>
      </c>
      <c r="H8" s="265">
        <v>2507.375</v>
      </c>
      <c r="I8" s="265">
        <v>2507.375</v>
      </c>
      <c r="J8" s="265">
        <v>2507.375</v>
      </c>
      <c r="K8" s="265">
        <v>2507.375</v>
      </c>
      <c r="L8" s="265">
        <v>2507.375</v>
      </c>
      <c r="M8" s="265">
        <v>2507.375</v>
      </c>
      <c r="N8" s="265">
        <v>2507.375</v>
      </c>
      <c r="O8" s="137"/>
      <c r="P8" s="265">
        <f>SUM(C8:O8)</f>
        <v>207088.5</v>
      </c>
      <c r="Q8" s="137"/>
      <c r="R8" s="137"/>
    </row>
    <row r="9" spans="1:18">
      <c r="A9" s="137"/>
      <c r="B9" s="137"/>
      <c r="C9" s="158"/>
      <c r="D9" s="158"/>
      <c r="E9" s="158"/>
      <c r="F9" s="158"/>
      <c r="G9" s="158"/>
      <c r="H9" s="158"/>
      <c r="I9" s="158"/>
      <c r="J9" s="158"/>
      <c r="K9" s="158"/>
      <c r="L9" s="158"/>
      <c r="M9" s="158"/>
      <c r="N9" s="158"/>
      <c r="O9" s="137"/>
      <c r="P9" s="158"/>
      <c r="Q9" s="137"/>
      <c r="R9" s="137"/>
    </row>
    <row r="10" spans="1:18">
      <c r="A10" s="137">
        <v>454011</v>
      </c>
      <c r="B10" s="137"/>
      <c r="C10" s="266">
        <v>1250</v>
      </c>
      <c r="D10" s="266">
        <v>1250</v>
      </c>
      <c r="E10" s="266">
        <v>1250</v>
      </c>
      <c r="F10" s="266">
        <v>1250</v>
      </c>
      <c r="G10" s="266">
        <v>1250</v>
      </c>
      <c r="H10" s="266">
        <v>1250</v>
      </c>
      <c r="I10" s="266">
        <v>1250</v>
      </c>
      <c r="J10" s="266">
        <v>1250</v>
      </c>
      <c r="K10" s="266">
        <v>1250</v>
      </c>
      <c r="L10" s="266">
        <v>1250</v>
      </c>
      <c r="M10" s="266">
        <v>1250</v>
      </c>
      <c r="N10" s="266">
        <v>1250</v>
      </c>
      <c r="O10" s="266"/>
      <c r="P10" s="266">
        <f t="shared" ref="P10" si="0">SUM(C10:O10)</f>
        <v>15000</v>
      </c>
      <c r="Q10" s="137"/>
      <c r="R10" s="137"/>
    </row>
    <row r="11" spans="1:18">
      <c r="A11" s="137"/>
      <c r="B11" s="137"/>
      <c r="C11" s="158"/>
      <c r="D11" s="158"/>
      <c r="E11" s="158"/>
      <c r="F11" s="158"/>
      <c r="G11" s="158"/>
      <c r="H11" s="158"/>
      <c r="I11" s="158"/>
      <c r="J11" s="158"/>
      <c r="K11" s="158"/>
      <c r="L11" s="158"/>
      <c r="M11" s="158"/>
      <c r="N11" s="158"/>
      <c r="O11" s="137"/>
      <c r="P11" s="137"/>
      <c r="Q11" s="137"/>
      <c r="R11" s="137"/>
    </row>
    <row r="12" spans="1:18" ht="15.6" thickBot="1">
      <c r="A12" s="160" t="s">
        <v>9</v>
      </c>
      <c r="B12" s="137"/>
      <c r="C12" s="267">
        <f>SUM(C8:C11)</f>
        <v>3757.375</v>
      </c>
      <c r="D12" s="267">
        <f t="shared" ref="D12:N12" si="1">SUM(D8:D11)</f>
        <v>3757.375</v>
      </c>
      <c r="E12" s="267">
        <f t="shared" si="1"/>
        <v>3757.375</v>
      </c>
      <c r="F12" s="267">
        <f t="shared" si="1"/>
        <v>180757.375</v>
      </c>
      <c r="G12" s="267">
        <f t="shared" si="1"/>
        <v>3757.375</v>
      </c>
      <c r="H12" s="267">
        <f t="shared" si="1"/>
        <v>3757.375</v>
      </c>
      <c r="I12" s="267">
        <f t="shared" si="1"/>
        <v>3757.375</v>
      </c>
      <c r="J12" s="267">
        <f t="shared" si="1"/>
        <v>3757.375</v>
      </c>
      <c r="K12" s="267">
        <f t="shared" si="1"/>
        <v>3757.375</v>
      </c>
      <c r="L12" s="267">
        <f t="shared" si="1"/>
        <v>3757.375</v>
      </c>
      <c r="M12" s="267">
        <f t="shared" si="1"/>
        <v>3757.375</v>
      </c>
      <c r="N12" s="267">
        <f t="shared" si="1"/>
        <v>3757.375</v>
      </c>
      <c r="O12" s="266"/>
      <c r="P12" s="267">
        <f>SUM(C12:O12)</f>
        <v>222088.5</v>
      </c>
      <c r="Q12" s="137"/>
      <c r="R12" s="137"/>
    </row>
    <row r="13" spans="1:18" ht="15.6" thickTop="1"/>
  </sheetData>
  <pageMargins left="0.7" right="0.7" top="0.75" bottom="0.75" header="0.3" footer="0.3"/>
  <pageSetup scale="6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90" zoomScaleNormal="90" workbookViewId="0">
      <selection activeCell="C23" sqref="C23"/>
    </sheetView>
  </sheetViews>
  <sheetFormatPr defaultRowHeight="15"/>
  <cols>
    <col min="1" max="1" width="6.81640625" customWidth="1"/>
    <col min="2" max="2" width="12.81640625" customWidth="1"/>
    <col min="3" max="3" width="13.6328125" customWidth="1"/>
    <col min="4" max="4" width="10.81640625" customWidth="1"/>
    <col min="5" max="5" width="11.1796875" customWidth="1"/>
    <col min="6" max="7" width="11.36328125" customWidth="1"/>
    <col min="8" max="8" width="13.1796875" customWidth="1"/>
    <col min="9" max="9" width="12.81640625" customWidth="1"/>
    <col min="10" max="10" width="12.36328125" bestFit="1" customWidth="1"/>
  </cols>
  <sheetData>
    <row r="1" spans="1:10" ht="15.6">
      <c r="A1" s="161" t="s">
        <v>280</v>
      </c>
    </row>
    <row r="2" spans="1:10" ht="15.6">
      <c r="A2" s="161" t="s">
        <v>486</v>
      </c>
    </row>
    <row r="3" spans="1:10" ht="15.6">
      <c r="A3" s="161" t="s">
        <v>715</v>
      </c>
    </row>
    <row r="5" spans="1:10">
      <c r="C5" s="170" t="s">
        <v>411</v>
      </c>
      <c r="D5" s="170" t="s">
        <v>412</v>
      </c>
      <c r="E5" s="170" t="s">
        <v>417</v>
      </c>
      <c r="F5" s="170" t="s">
        <v>413</v>
      </c>
      <c r="G5" s="170" t="s">
        <v>414</v>
      </c>
      <c r="H5" s="170" t="s">
        <v>415</v>
      </c>
      <c r="I5" s="170" t="s">
        <v>487</v>
      </c>
      <c r="J5" s="170" t="s">
        <v>488</v>
      </c>
    </row>
    <row r="6" spans="1:10">
      <c r="C6" s="170"/>
      <c r="D6" s="170"/>
      <c r="E6" s="170"/>
    </row>
    <row r="7" spans="1:10" ht="15.6">
      <c r="A7" s="190"/>
      <c r="B7" s="210"/>
      <c r="C7" s="247"/>
      <c r="D7" s="237"/>
      <c r="E7" s="237"/>
      <c r="F7" s="237"/>
      <c r="G7" s="237" t="s">
        <v>476</v>
      </c>
      <c r="H7" s="237" t="s">
        <v>479</v>
      </c>
      <c r="I7" s="237" t="s">
        <v>479</v>
      </c>
      <c r="J7" s="216"/>
    </row>
    <row r="8" spans="1:10" ht="15.6">
      <c r="A8" s="193"/>
      <c r="B8" s="132"/>
      <c r="C8" s="135"/>
      <c r="D8" s="189" t="s">
        <v>476</v>
      </c>
      <c r="E8" s="189" t="s">
        <v>476</v>
      </c>
      <c r="F8" s="189" t="s">
        <v>479</v>
      </c>
      <c r="G8" s="189" t="s">
        <v>477</v>
      </c>
      <c r="H8" s="189" t="s">
        <v>480</v>
      </c>
      <c r="I8" s="189" t="s">
        <v>483</v>
      </c>
      <c r="J8" s="134"/>
    </row>
    <row r="9" spans="1:10" ht="15.6">
      <c r="A9" s="208" t="s">
        <v>4</v>
      </c>
      <c r="B9" s="206"/>
      <c r="C9" s="189" t="s">
        <v>472</v>
      </c>
      <c r="D9" s="189" t="s">
        <v>485</v>
      </c>
      <c r="E9" s="189" t="s">
        <v>284</v>
      </c>
      <c r="F9" s="245" t="s">
        <v>474</v>
      </c>
      <c r="G9" s="245" t="s">
        <v>478</v>
      </c>
      <c r="H9" s="245" t="s">
        <v>481</v>
      </c>
      <c r="I9" s="245" t="s">
        <v>484</v>
      </c>
      <c r="J9" s="134"/>
    </row>
    <row r="10" spans="1:10" ht="15.6">
      <c r="A10" s="172" t="s">
        <v>6</v>
      </c>
      <c r="B10" s="200" t="s">
        <v>471</v>
      </c>
      <c r="C10" s="177" t="s">
        <v>473</v>
      </c>
      <c r="D10" s="177" t="s">
        <v>475</v>
      </c>
      <c r="E10" s="177" t="s">
        <v>151</v>
      </c>
      <c r="F10" s="248" t="s">
        <v>475</v>
      </c>
      <c r="G10" s="248" t="s">
        <v>474</v>
      </c>
      <c r="H10" s="248" t="s">
        <v>482</v>
      </c>
      <c r="I10" s="248" t="s">
        <v>475</v>
      </c>
      <c r="J10" s="249" t="s">
        <v>486</v>
      </c>
    </row>
    <row r="11" spans="1:10">
      <c r="A11" s="239">
        <v>1</v>
      </c>
      <c r="B11" s="195">
        <v>42736</v>
      </c>
      <c r="C11" s="241">
        <v>3699000</v>
      </c>
      <c r="D11" s="241">
        <v>0</v>
      </c>
      <c r="E11" s="241">
        <v>89660</v>
      </c>
      <c r="F11" s="250">
        <v>0</v>
      </c>
      <c r="G11" s="250">
        <v>0</v>
      </c>
      <c r="H11" s="250">
        <v>0</v>
      </c>
      <c r="I11" s="250">
        <v>0</v>
      </c>
      <c r="J11" s="242">
        <f>C11+D11+E11-F11+G11-H11-I11</f>
        <v>3788660</v>
      </c>
    </row>
    <row r="12" spans="1:10">
      <c r="A12" s="240">
        <v>2</v>
      </c>
      <c r="B12" s="196">
        <v>42767</v>
      </c>
      <c r="C12" s="243">
        <v>3671000</v>
      </c>
      <c r="D12" s="243">
        <v>0</v>
      </c>
      <c r="E12" s="243">
        <v>79754</v>
      </c>
      <c r="F12" s="246">
        <v>0</v>
      </c>
      <c r="G12" s="246">
        <v>0</v>
      </c>
      <c r="H12" s="246">
        <v>0</v>
      </c>
      <c r="I12" s="246">
        <v>0</v>
      </c>
      <c r="J12" s="244">
        <f t="shared" ref="J12:J22" si="0">C12+D12+E12-F12+G12-H12-I12</f>
        <v>3750754</v>
      </c>
    </row>
    <row r="13" spans="1:10">
      <c r="A13" s="240">
        <v>3</v>
      </c>
      <c r="B13" s="196">
        <v>42795</v>
      </c>
      <c r="C13" s="243">
        <v>3368000</v>
      </c>
      <c r="D13" s="243">
        <v>0</v>
      </c>
      <c r="E13" s="243">
        <v>78739</v>
      </c>
      <c r="F13" s="246">
        <v>0</v>
      </c>
      <c r="G13" s="246">
        <v>0</v>
      </c>
      <c r="H13" s="246">
        <v>0</v>
      </c>
      <c r="I13" s="246">
        <v>0</v>
      </c>
      <c r="J13" s="244">
        <f t="shared" si="0"/>
        <v>3446739</v>
      </c>
    </row>
    <row r="14" spans="1:10">
      <c r="A14" s="240">
        <v>4</v>
      </c>
      <c r="B14" s="196">
        <v>42826</v>
      </c>
      <c r="C14" s="243">
        <v>3110000</v>
      </c>
      <c r="D14" s="243">
        <v>0</v>
      </c>
      <c r="E14" s="243">
        <v>63315</v>
      </c>
      <c r="F14" s="246">
        <v>0</v>
      </c>
      <c r="G14" s="246">
        <v>0</v>
      </c>
      <c r="H14" s="246">
        <v>0</v>
      </c>
      <c r="I14" s="246">
        <v>0</v>
      </c>
      <c r="J14" s="244">
        <f t="shared" si="0"/>
        <v>3173315</v>
      </c>
    </row>
    <row r="15" spans="1:10">
      <c r="A15" s="240">
        <v>5</v>
      </c>
      <c r="B15" s="196">
        <v>42856</v>
      </c>
      <c r="C15" s="243">
        <v>3767000</v>
      </c>
      <c r="D15" s="243">
        <v>0</v>
      </c>
      <c r="E15" s="243">
        <v>74529</v>
      </c>
      <c r="F15" s="246">
        <v>0</v>
      </c>
      <c r="G15" s="246">
        <v>0</v>
      </c>
      <c r="H15" s="246">
        <v>0</v>
      </c>
      <c r="I15" s="246">
        <v>0</v>
      </c>
      <c r="J15" s="244">
        <f t="shared" si="0"/>
        <v>3841529</v>
      </c>
    </row>
    <row r="16" spans="1:10">
      <c r="A16" s="240">
        <v>6</v>
      </c>
      <c r="B16" s="196">
        <v>42887</v>
      </c>
      <c r="C16" s="243">
        <v>4555000</v>
      </c>
      <c r="D16" s="243">
        <v>0</v>
      </c>
      <c r="E16" s="243">
        <v>102424</v>
      </c>
      <c r="F16" s="246">
        <v>0</v>
      </c>
      <c r="G16" s="246">
        <v>0</v>
      </c>
      <c r="H16" s="246">
        <v>0</v>
      </c>
      <c r="I16" s="246">
        <v>0</v>
      </c>
      <c r="J16" s="244">
        <f t="shared" si="0"/>
        <v>4657424</v>
      </c>
    </row>
    <row r="17" spans="1:10">
      <c r="A17" s="240">
        <v>7</v>
      </c>
      <c r="B17" s="196">
        <v>42917</v>
      </c>
      <c r="C17" s="243">
        <v>4910000</v>
      </c>
      <c r="D17" s="243">
        <v>0</v>
      </c>
      <c r="E17" s="243">
        <v>117755</v>
      </c>
      <c r="F17" s="246">
        <v>0</v>
      </c>
      <c r="G17" s="246">
        <v>0</v>
      </c>
      <c r="H17" s="246">
        <v>0</v>
      </c>
      <c r="I17" s="246">
        <v>0</v>
      </c>
      <c r="J17" s="244">
        <f t="shared" si="0"/>
        <v>5027755</v>
      </c>
    </row>
    <row r="18" spans="1:10">
      <c r="A18" s="240">
        <v>8</v>
      </c>
      <c r="B18" s="196">
        <v>42948</v>
      </c>
      <c r="C18" s="243">
        <v>4695000</v>
      </c>
      <c r="D18" s="243">
        <v>0</v>
      </c>
      <c r="E18" s="243">
        <v>107815</v>
      </c>
      <c r="F18" s="246">
        <v>0</v>
      </c>
      <c r="G18" s="246">
        <v>0</v>
      </c>
      <c r="H18" s="246">
        <v>0</v>
      </c>
      <c r="I18" s="246">
        <v>0</v>
      </c>
      <c r="J18" s="244">
        <f t="shared" si="0"/>
        <v>4802815</v>
      </c>
    </row>
    <row r="19" spans="1:10">
      <c r="A19" s="240">
        <v>9</v>
      </c>
      <c r="B19" s="196">
        <v>42979</v>
      </c>
      <c r="C19" s="243">
        <v>4358000</v>
      </c>
      <c r="D19" s="243">
        <v>0</v>
      </c>
      <c r="E19" s="243">
        <v>115412</v>
      </c>
      <c r="F19" s="246">
        <v>0</v>
      </c>
      <c r="G19" s="246">
        <v>0</v>
      </c>
      <c r="H19" s="246">
        <v>0</v>
      </c>
      <c r="I19" s="246">
        <v>0</v>
      </c>
      <c r="J19" s="244">
        <f t="shared" si="0"/>
        <v>4473412</v>
      </c>
    </row>
    <row r="20" spans="1:10">
      <c r="A20" s="240">
        <v>10</v>
      </c>
      <c r="B20" s="196">
        <v>43009</v>
      </c>
      <c r="C20" s="243">
        <v>3358000</v>
      </c>
      <c r="D20" s="243">
        <v>0</v>
      </c>
      <c r="E20" s="243">
        <v>74149</v>
      </c>
      <c r="F20" s="246">
        <v>0</v>
      </c>
      <c r="G20" s="246">
        <v>0</v>
      </c>
      <c r="H20" s="246">
        <v>0</v>
      </c>
      <c r="I20" s="246">
        <v>0</v>
      </c>
      <c r="J20" s="244">
        <f t="shared" si="0"/>
        <v>3432149</v>
      </c>
    </row>
    <row r="21" spans="1:10">
      <c r="A21" s="240">
        <v>11</v>
      </c>
      <c r="B21" s="196">
        <v>43040</v>
      </c>
      <c r="C21" s="243">
        <v>3517000</v>
      </c>
      <c r="D21" s="243">
        <v>0</v>
      </c>
      <c r="E21" s="243">
        <v>69525</v>
      </c>
      <c r="F21" s="246">
        <v>0</v>
      </c>
      <c r="G21" s="246">
        <v>0</v>
      </c>
      <c r="H21" s="246">
        <v>0</v>
      </c>
      <c r="I21" s="246">
        <v>0</v>
      </c>
      <c r="J21" s="244">
        <f t="shared" si="0"/>
        <v>3586525</v>
      </c>
    </row>
    <row r="22" spans="1:10">
      <c r="A22" s="240">
        <v>12</v>
      </c>
      <c r="B22" s="196">
        <v>43070</v>
      </c>
      <c r="C22" s="251">
        <v>3753000</v>
      </c>
      <c r="D22" s="251">
        <v>0</v>
      </c>
      <c r="E22" s="251">
        <v>76364</v>
      </c>
      <c r="F22" s="252">
        <v>0</v>
      </c>
      <c r="G22" s="252">
        <v>0</v>
      </c>
      <c r="H22" s="252">
        <v>0</v>
      </c>
      <c r="I22" s="252">
        <v>0</v>
      </c>
      <c r="J22" s="253">
        <f t="shared" si="0"/>
        <v>3829364</v>
      </c>
    </row>
    <row r="23" spans="1:10">
      <c r="A23" s="240">
        <v>13</v>
      </c>
      <c r="B23" s="132"/>
      <c r="C23" s="135"/>
      <c r="D23" s="135"/>
      <c r="E23" s="135"/>
      <c r="F23" s="135"/>
      <c r="G23" s="135"/>
      <c r="H23" s="135"/>
      <c r="I23" s="135"/>
      <c r="J23" s="134"/>
    </row>
    <row r="24" spans="1:10" ht="16.2" thickBot="1">
      <c r="A24" s="240">
        <v>14</v>
      </c>
      <c r="B24" s="206" t="s">
        <v>308</v>
      </c>
      <c r="C24" s="254">
        <f>AVERAGE(C11:C22)</f>
        <v>3896750</v>
      </c>
      <c r="D24" s="254">
        <f t="shared" ref="D24:J24" si="1">AVERAGE(D11:D22)</f>
        <v>0</v>
      </c>
      <c r="E24" s="254">
        <f t="shared" si="1"/>
        <v>87453.416666666672</v>
      </c>
      <c r="F24" s="254">
        <f t="shared" si="1"/>
        <v>0</v>
      </c>
      <c r="G24" s="254">
        <f t="shared" si="1"/>
        <v>0</v>
      </c>
      <c r="H24" s="254">
        <f t="shared" si="1"/>
        <v>0</v>
      </c>
      <c r="I24" s="254">
        <f t="shared" si="1"/>
        <v>0</v>
      </c>
      <c r="J24" s="255">
        <f t="shared" si="1"/>
        <v>3984203.4166666665</v>
      </c>
    </row>
    <row r="25" spans="1:10" ht="15.6" thickTop="1">
      <c r="A25" s="181"/>
      <c r="B25" s="187"/>
      <c r="C25" s="162"/>
      <c r="D25" s="162"/>
      <c r="E25" s="162"/>
      <c r="F25" s="162"/>
      <c r="G25" s="162"/>
      <c r="H25" s="162"/>
      <c r="I25" s="162"/>
      <c r="J25" s="188"/>
    </row>
  </sheetData>
  <pageMargins left="0.7" right="0.7" top="0.75" bottom="0.75" header="0.3" footer="0.3"/>
  <pageSetup scale="8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zoomScale="80" zoomScaleNormal="80" workbookViewId="0">
      <selection sqref="A1:N85"/>
    </sheetView>
  </sheetViews>
  <sheetFormatPr defaultRowHeight="15"/>
  <cols>
    <col min="1" max="1" width="3.6328125" customWidth="1"/>
    <col min="2" max="2" width="25.453125" customWidth="1"/>
    <col min="3" max="3" width="12.08984375" customWidth="1"/>
    <col min="4" max="4" width="14" customWidth="1"/>
    <col min="5" max="5" width="14.36328125" customWidth="1"/>
    <col min="6" max="6" width="14.90625" customWidth="1"/>
    <col min="7" max="9" width="14.54296875" customWidth="1"/>
    <col min="10" max="10" width="1" customWidth="1"/>
    <col min="11" max="11" width="13.6328125" customWidth="1"/>
    <col min="12" max="12" width="1.453125" customWidth="1"/>
    <col min="13" max="13" width="15" customWidth="1"/>
    <col min="14" max="14" width="20.453125" bestFit="1" customWidth="1"/>
    <col min="15" max="15" width="2.81640625" customWidth="1"/>
    <col min="16" max="16" width="9.81640625" customWidth="1"/>
  </cols>
  <sheetData>
    <row r="1" spans="1:16" s="133" customFormat="1" ht="21">
      <c r="A1" s="275" t="s">
        <v>280</v>
      </c>
      <c r="B1" s="276"/>
      <c r="C1" s="277"/>
      <c r="D1" s="276"/>
      <c r="E1" s="278" t="s">
        <v>699</v>
      </c>
      <c r="F1" s="279"/>
      <c r="G1" s="277"/>
      <c r="H1" s="277"/>
      <c r="I1" s="277"/>
      <c r="J1" s="280"/>
      <c r="K1" s="277"/>
      <c r="L1" s="280"/>
      <c r="M1" s="281"/>
      <c r="N1" s="281"/>
      <c r="O1" s="277"/>
      <c r="P1" s="277"/>
    </row>
    <row r="2" spans="1:16" s="133" customFormat="1" ht="15.6">
      <c r="A2" s="280"/>
      <c r="B2" s="276"/>
      <c r="C2" s="276"/>
      <c r="D2" s="276"/>
      <c r="E2" s="276"/>
      <c r="F2" s="279"/>
      <c r="G2" s="280"/>
      <c r="H2" s="280"/>
      <c r="I2" s="280"/>
      <c r="J2" s="280"/>
      <c r="K2" s="280"/>
      <c r="L2" s="280"/>
      <c r="M2" s="282"/>
      <c r="N2" s="283" t="s">
        <v>309</v>
      </c>
      <c r="O2" s="277"/>
      <c r="P2" s="277" t="s">
        <v>536</v>
      </c>
    </row>
    <row r="3" spans="1:16" s="133" customFormat="1" ht="16.2" thickBot="1">
      <c r="A3" s="284"/>
      <c r="B3" s="276"/>
      <c r="C3" s="276"/>
      <c r="D3" s="285" t="s">
        <v>310</v>
      </c>
      <c r="E3" s="286"/>
      <c r="F3" s="286"/>
      <c r="G3" s="286"/>
      <c r="H3" s="286"/>
      <c r="I3" s="286"/>
      <c r="J3" s="286"/>
      <c r="K3" s="286"/>
      <c r="L3" s="280"/>
      <c r="M3" s="282" t="s">
        <v>311</v>
      </c>
      <c r="N3" s="282" t="s">
        <v>312</v>
      </c>
      <c r="O3" s="277"/>
      <c r="P3" s="277"/>
    </row>
    <row r="4" spans="1:16" s="133" customFormat="1" ht="15.6">
      <c r="A4" s="287" t="s">
        <v>313</v>
      </c>
      <c r="B4" s="288"/>
      <c r="C4" s="289" t="s">
        <v>314</v>
      </c>
      <c r="D4" s="290" t="s">
        <v>315</v>
      </c>
      <c r="E4" s="291" t="s">
        <v>316</v>
      </c>
      <c r="F4" s="290" t="s">
        <v>547</v>
      </c>
      <c r="G4" s="290" t="s">
        <v>317</v>
      </c>
      <c r="H4" s="290" t="s">
        <v>548</v>
      </c>
      <c r="I4" s="290" t="s">
        <v>700</v>
      </c>
      <c r="J4" s="290"/>
      <c r="K4" s="290" t="s">
        <v>318</v>
      </c>
      <c r="L4" s="280"/>
      <c r="M4" s="292" t="s">
        <v>319</v>
      </c>
      <c r="N4" s="284" t="s">
        <v>320</v>
      </c>
      <c r="O4" s="277"/>
      <c r="P4" s="277"/>
    </row>
    <row r="5" spans="1:16" s="133" customFormat="1" ht="15.6">
      <c r="A5" s="279"/>
      <c r="B5" s="279"/>
      <c r="C5" s="293" t="s">
        <v>321</v>
      </c>
      <c r="D5" s="290" t="s">
        <v>322</v>
      </c>
      <c r="E5" s="290" t="s">
        <v>322</v>
      </c>
      <c r="F5" s="290" t="s">
        <v>322</v>
      </c>
      <c r="G5" s="290" t="s">
        <v>322</v>
      </c>
      <c r="H5" s="290" t="s">
        <v>322</v>
      </c>
      <c r="I5" s="290" t="s">
        <v>322</v>
      </c>
      <c r="J5" s="290"/>
      <c r="K5" s="290" t="s">
        <v>323</v>
      </c>
      <c r="L5" s="280"/>
      <c r="M5" s="282" t="s">
        <v>324</v>
      </c>
      <c r="N5" s="294" t="s">
        <v>325</v>
      </c>
      <c r="O5" s="277"/>
      <c r="P5" s="277"/>
    </row>
    <row r="6" spans="1:16" s="133" customFormat="1" ht="15.6">
      <c r="A6" s="279"/>
      <c r="B6" s="279"/>
      <c r="C6" s="293"/>
      <c r="D6" s="295">
        <v>0.77443300000000004</v>
      </c>
      <c r="E6" s="295">
        <v>0.10004399999999999</v>
      </c>
      <c r="F6" s="295">
        <v>1.6000000000000001E-4</v>
      </c>
      <c r="G6" s="295">
        <v>2.238E-3</v>
      </c>
      <c r="H6" s="295">
        <v>1.2659E-2</v>
      </c>
      <c r="I6" s="295">
        <v>8.6600000000000002E-4</v>
      </c>
      <c r="J6" s="296"/>
      <c r="K6" s="297">
        <f>SUM(D6:J6)</f>
        <v>0.89040000000000008</v>
      </c>
      <c r="L6" s="280"/>
      <c r="M6" s="282"/>
      <c r="N6" s="276"/>
      <c r="O6" s="298"/>
      <c r="P6" s="277"/>
    </row>
    <row r="7" spans="1:16" s="133" customFormat="1" ht="15.6">
      <c r="A7" s="279"/>
      <c r="B7" s="279"/>
      <c r="C7" s="293"/>
      <c r="D7" s="295" t="s">
        <v>549</v>
      </c>
      <c r="E7" s="299" t="s">
        <v>550</v>
      </c>
      <c r="F7" s="299" t="s">
        <v>550</v>
      </c>
      <c r="G7" s="299" t="s">
        <v>550</v>
      </c>
      <c r="H7" s="299" t="s">
        <v>550</v>
      </c>
      <c r="I7" s="299" t="s">
        <v>549</v>
      </c>
      <c r="J7" s="296"/>
      <c r="K7" s="300"/>
      <c r="L7" s="280"/>
      <c r="M7" s="282"/>
      <c r="N7" s="276"/>
      <c r="O7" s="277"/>
      <c r="P7" s="277"/>
    </row>
    <row r="8" spans="1:16" s="133" customFormat="1">
      <c r="A8" s="277"/>
      <c r="B8" s="277"/>
      <c r="C8" s="277" t="s">
        <v>326</v>
      </c>
      <c r="D8" s="277"/>
      <c r="E8" s="277"/>
      <c r="F8" s="277"/>
      <c r="G8" s="277"/>
      <c r="H8" s="277"/>
      <c r="I8" s="277"/>
      <c r="J8" s="277"/>
      <c r="K8" s="277"/>
      <c r="L8" s="280"/>
      <c r="M8" s="277"/>
      <c r="N8" s="276"/>
      <c r="O8" s="277"/>
      <c r="P8" s="277"/>
    </row>
    <row r="9" spans="1:16" s="133" customFormat="1" ht="15.6">
      <c r="A9" s="301" t="s">
        <v>327</v>
      </c>
      <c r="B9" s="277"/>
      <c r="C9" s="160"/>
      <c r="D9" s="277"/>
      <c r="E9" s="277"/>
      <c r="F9" s="277"/>
      <c r="G9" s="277"/>
      <c r="H9" s="277"/>
      <c r="I9" s="277"/>
      <c r="J9" s="277"/>
      <c r="K9" s="277"/>
      <c r="L9" s="280"/>
      <c r="M9" s="277"/>
      <c r="N9" s="276"/>
      <c r="O9" s="277"/>
      <c r="P9" s="277"/>
    </row>
    <row r="10" spans="1:16" s="133" customFormat="1">
      <c r="A10" s="277" t="s">
        <v>328</v>
      </c>
      <c r="B10" s="277"/>
      <c r="C10" s="277"/>
      <c r="D10" s="302"/>
      <c r="E10" s="302"/>
      <c r="F10" s="302"/>
      <c r="G10" s="302"/>
      <c r="H10" s="302"/>
      <c r="I10" s="302"/>
      <c r="J10" s="302"/>
      <c r="K10" s="302"/>
      <c r="L10" s="280"/>
      <c r="M10" s="277"/>
      <c r="N10" s="277"/>
      <c r="O10" s="277"/>
      <c r="P10" s="277"/>
    </row>
    <row r="11" spans="1:16" s="133" customFormat="1">
      <c r="A11" s="277"/>
      <c r="B11" s="277" t="s">
        <v>329</v>
      </c>
      <c r="C11" s="303">
        <v>100000000</v>
      </c>
      <c r="D11" s="304">
        <f>$C$11*D6</f>
        <v>77443300</v>
      </c>
      <c r="E11" s="304">
        <f t="shared" ref="E11:H11" si="0">$C$11*E6</f>
        <v>10004400</v>
      </c>
      <c r="F11" s="304">
        <f t="shared" si="0"/>
        <v>16000.000000000002</v>
      </c>
      <c r="G11" s="304">
        <f t="shared" si="0"/>
        <v>223800</v>
      </c>
      <c r="H11" s="304">
        <f t="shared" si="0"/>
        <v>1265900</v>
      </c>
      <c r="I11" s="304">
        <f>$C$11*I6</f>
        <v>86600</v>
      </c>
      <c r="J11" s="304"/>
      <c r="K11" s="304">
        <f>SUM(D11:J11)</f>
        <v>89040000</v>
      </c>
      <c r="L11" s="277"/>
      <c r="M11" s="304">
        <v>100000000</v>
      </c>
      <c r="N11" s="277"/>
      <c r="O11" s="277"/>
      <c r="P11" s="277"/>
    </row>
    <row r="12" spans="1:16" s="133" customFormat="1">
      <c r="A12" s="277"/>
      <c r="B12" s="277" t="s">
        <v>330</v>
      </c>
      <c r="C12" s="277"/>
      <c r="D12" s="305">
        <v>7831345</v>
      </c>
      <c r="E12" s="304" t="s">
        <v>2</v>
      </c>
      <c r="F12" s="304" t="s">
        <v>2</v>
      </c>
      <c r="G12" s="304" t="s">
        <v>2</v>
      </c>
      <c r="H12" s="304"/>
      <c r="I12" s="304"/>
      <c r="J12" s="304"/>
      <c r="K12" s="304">
        <f t="shared" ref="K12:K18" si="1">SUM(D12:J12)</f>
        <v>7831345</v>
      </c>
      <c r="L12" s="277"/>
      <c r="M12" s="304">
        <v>7714283</v>
      </c>
      <c r="N12" s="306"/>
      <c r="O12" s="277"/>
      <c r="P12" s="277"/>
    </row>
    <row r="13" spans="1:16" s="133" customFormat="1">
      <c r="A13" s="277"/>
      <c r="B13" s="277" t="s">
        <v>331</v>
      </c>
      <c r="C13" s="277"/>
      <c r="D13" s="304" t="s">
        <v>2</v>
      </c>
      <c r="E13" s="304">
        <v>775341</v>
      </c>
      <c r="F13" s="304" t="s">
        <v>2</v>
      </c>
      <c r="G13" s="304" t="s">
        <v>2</v>
      </c>
      <c r="H13" s="304"/>
      <c r="I13" s="304"/>
      <c r="J13" s="304"/>
      <c r="K13" s="304">
        <f t="shared" si="1"/>
        <v>775341</v>
      </c>
      <c r="L13" s="277"/>
      <c r="M13" s="304">
        <v>730655.40402200003</v>
      </c>
      <c r="N13" s="277"/>
      <c r="O13" s="277"/>
      <c r="P13" s="277"/>
    </row>
    <row r="14" spans="1:16" s="133" customFormat="1">
      <c r="A14" s="277"/>
      <c r="B14" s="277" t="s">
        <v>551</v>
      </c>
      <c r="C14" s="277"/>
      <c r="D14" s="304" t="s">
        <v>2</v>
      </c>
      <c r="E14" s="304" t="s">
        <v>2</v>
      </c>
      <c r="F14" s="304">
        <v>1000</v>
      </c>
      <c r="G14" s="304" t="s">
        <v>2</v>
      </c>
      <c r="H14" s="304"/>
      <c r="I14" s="304"/>
      <c r="J14" s="304"/>
      <c r="K14" s="304">
        <f t="shared" si="1"/>
        <v>1000</v>
      </c>
      <c r="L14" s="277"/>
      <c r="M14" s="304">
        <v>1000</v>
      </c>
      <c r="N14" s="277"/>
      <c r="O14" s="277"/>
      <c r="P14" s="277"/>
    </row>
    <row r="15" spans="1:16" s="133" customFormat="1">
      <c r="A15" s="277"/>
      <c r="B15" s="277" t="s">
        <v>332</v>
      </c>
      <c r="C15" s="277"/>
      <c r="D15" s="307" t="s">
        <v>2</v>
      </c>
      <c r="E15" s="307" t="s">
        <v>2</v>
      </c>
      <c r="F15" s="307" t="s">
        <v>2</v>
      </c>
      <c r="G15" s="307">
        <v>16213</v>
      </c>
      <c r="H15" s="307"/>
      <c r="I15" s="307"/>
      <c r="J15" s="307"/>
      <c r="K15" s="304">
        <f t="shared" si="1"/>
        <v>16213</v>
      </c>
      <c r="L15" s="277"/>
      <c r="M15" s="307">
        <v>16046.0637021</v>
      </c>
      <c r="N15" s="277"/>
      <c r="O15" s="277"/>
      <c r="P15" s="277"/>
    </row>
    <row r="16" spans="1:16" s="133" customFormat="1">
      <c r="A16" s="277"/>
      <c r="B16" s="277" t="s">
        <v>552</v>
      </c>
      <c r="C16" s="277"/>
      <c r="D16" s="307"/>
      <c r="E16" s="307"/>
      <c r="F16" s="307"/>
      <c r="G16" s="307"/>
      <c r="H16" s="307">
        <v>75954</v>
      </c>
      <c r="I16" s="307"/>
      <c r="J16" s="307"/>
      <c r="K16" s="304">
        <f t="shared" si="1"/>
        <v>75954</v>
      </c>
      <c r="L16" s="277"/>
      <c r="M16" s="307">
        <v>75954</v>
      </c>
      <c r="N16" s="277"/>
      <c r="O16" s="277"/>
      <c r="P16" s="277"/>
    </row>
    <row r="17" spans="1:16" s="133" customFormat="1">
      <c r="A17" s="277"/>
      <c r="B17" s="277" t="s">
        <v>553</v>
      </c>
      <c r="C17" s="277"/>
      <c r="D17" s="307"/>
      <c r="E17" s="307"/>
      <c r="F17" s="307"/>
      <c r="G17" s="307"/>
      <c r="H17" s="307"/>
      <c r="I17" s="307">
        <v>6062</v>
      </c>
      <c r="J17" s="307"/>
      <c r="K17" s="308">
        <f t="shared" si="1"/>
        <v>6062</v>
      </c>
      <c r="L17" s="277"/>
      <c r="M17" s="307">
        <v>6062</v>
      </c>
      <c r="N17" s="277"/>
      <c r="O17" s="277"/>
      <c r="P17" s="277"/>
    </row>
    <row r="18" spans="1:16" s="133" customFormat="1">
      <c r="A18" s="277" t="s">
        <v>333</v>
      </c>
      <c r="B18" s="277"/>
      <c r="C18" s="277"/>
      <c r="D18" s="309">
        <f>D11-D12</f>
        <v>69611955</v>
      </c>
      <c r="E18" s="309">
        <f>E11-E13</f>
        <v>9229059</v>
      </c>
      <c r="F18" s="309">
        <f>F11-F14</f>
        <v>15000.000000000002</v>
      </c>
      <c r="G18" s="309">
        <f>G11-G15</f>
        <v>207587</v>
      </c>
      <c r="H18" s="309">
        <f>H11-H16</f>
        <v>1189946</v>
      </c>
      <c r="I18" s="309">
        <f>I11-I17</f>
        <v>80538</v>
      </c>
      <c r="J18" s="304"/>
      <c r="K18" s="307">
        <f t="shared" si="1"/>
        <v>80334085</v>
      </c>
      <c r="L18" s="277"/>
      <c r="M18" s="309">
        <f>M11-M12-M13-M14-M15-M16-M17</f>
        <v>91455999.5322759</v>
      </c>
      <c r="N18" s="277"/>
      <c r="O18" s="277"/>
      <c r="P18" s="277"/>
    </row>
    <row r="19" spans="1:16" s="133" customFormat="1" ht="15.6">
      <c r="A19" s="277" t="s">
        <v>334</v>
      </c>
      <c r="B19" s="277"/>
      <c r="C19" s="277"/>
      <c r="D19" s="310">
        <v>0.35</v>
      </c>
      <c r="E19" s="310">
        <v>0.35</v>
      </c>
      <c r="F19" s="310">
        <v>0.35</v>
      </c>
      <c r="G19" s="310">
        <v>0.35</v>
      </c>
      <c r="H19" s="310">
        <v>0.35</v>
      </c>
      <c r="I19" s="310">
        <v>0.35</v>
      </c>
      <c r="J19" s="311"/>
      <c r="K19" s="277"/>
      <c r="L19" s="277"/>
      <c r="M19" s="310">
        <v>0.35</v>
      </c>
      <c r="N19" s="277"/>
      <c r="O19" s="277"/>
      <c r="P19" s="277"/>
    </row>
    <row r="20" spans="1:16" s="133" customFormat="1" ht="15.6" thickBot="1">
      <c r="A20" s="277" t="s">
        <v>335</v>
      </c>
      <c r="B20" s="277"/>
      <c r="C20" s="277"/>
      <c r="D20" s="312">
        <f t="shared" ref="D20:I20" si="2">D18*D19</f>
        <v>24364184.25</v>
      </c>
      <c r="E20" s="312">
        <f t="shared" si="2"/>
        <v>3230170.65</v>
      </c>
      <c r="F20" s="312">
        <f t="shared" si="2"/>
        <v>5250</v>
      </c>
      <c r="G20" s="312">
        <f t="shared" si="2"/>
        <v>72655.45</v>
      </c>
      <c r="H20" s="312">
        <f t="shared" si="2"/>
        <v>416481.1</v>
      </c>
      <c r="I20" s="312">
        <f t="shared" si="2"/>
        <v>28188.3</v>
      </c>
      <c r="J20" s="307"/>
      <c r="K20" s="304">
        <f>SUM(D20:J20)</f>
        <v>28116929.75</v>
      </c>
      <c r="L20" s="277"/>
      <c r="M20" s="312">
        <f>M18*M19</f>
        <v>32009599.836296562</v>
      </c>
      <c r="N20" s="277"/>
      <c r="O20" s="277"/>
      <c r="P20" s="277"/>
    </row>
    <row r="21" spans="1:16" s="133" customFormat="1" ht="16.2" thickTop="1">
      <c r="A21" s="277"/>
      <c r="B21" s="277"/>
      <c r="C21" s="277"/>
      <c r="D21" s="313">
        <f t="shared" ref="D21:I21" si="3">D20/D11</f>
        <v>0.31460674131913285</v>
      </c>
      <c r="E21" s="313">
        <f t="shared" si="3"/>
        <v>0.32287499999999997</v>
      </c>
      <c r="F21" s="313">
        <f t="shared" si="3"/>
        <v>0.32812499999999994</v>
      </c>
      <c r="G21" s="313">
        <f t="shared" si="3"/>
        <v>0.32464454870420018</v>
      </c>
      <c r="H21" s="313">
        <f t="shared" si="3"/>
        <v>0.32899999999999996</v>
      </c>
      <c r="I21" s="313">
        <f t="shared" si="3"/>
        <v>0.32550000000000001</v>
      </c>
      <c r="J21" s="313"/>
      <c r="K21" s="313">
        <f>K20/K11</f>
        <v>0.3157786360062893</v>
      </c>
      <c r="L21" s="277"/>
      <c r="M21" s="335">
        <f>M20/M11</f>
        <v>0.32009599836296559</v>
      </c>
      <c r="N21" s="314">
        <v>0.35</v>
      </c>
      <c r="O21" s="277"/>
      <c r="P21" s="315">
        <f>M21</f>
        <v>0.32009599836296559</v>
      </c>
    </row>
    <row r="22" spans="1:16" s="133" customFormat="1" ht="15.6">
      <c r="A22" s="301" t="s">
        <v>336</v>
      </c>
      <c r="B22" s="277"/>
      <c r="C22" s="277"/>
      <c r="D22" s="277"/>
      <c r="E22" s="277"/>
      <c r="F22" s="277"/>
      <c r="G22" s="277"/>
      <c r="H22" s="277"/>
      <c r="I22" s="277"/>
      <c r="J22" s="277"/>
      <c r="K22" s="277"/>
      <c r="L22" s="277"/>
      <c r="M22" s="277"/>
      <c r="N22" s="277"/>
      <c r="O22" s="277"/>
      <c r="P22" s="277"/>
    </row>
    <row r="23" spans="1:16" s="133" customFormat="1">
      <c r="A23" s="277" t="s">
        <v>333</v>
      </c>
      <c r="B23" s="277"/>
      <c r="C23" s="277"/>
      <c r="D23" s="304">
        <f>D18</f>
        <v>69611955</v>
      </c>
      <c r="E23" s="307"/>
      <c r="F23" s="307"/>
      <c r="G23" s="307"/>
      <c r="H23" s="307"/>
      <c r="I23" s="307"/>
      <c r="J23" s="307"/>
      <c r="K23" s="277"/>
      <c r="L23" s="277"/>
      <c r="M23" s="304">
        <f>M18</f>
        <v>91455999.5322759</v>
      </c>
      <c r="N23" s="277"/>
      <c r="O23" s="277"/>
      <c r="P23" s="277"/>
    </row>
    <row r="24" spans="1:16" s="133" customFormat="1">
      <c r="A24" s="277"/>
      <c r="B24" s="277" t="s">
        <v>337</v>
      </c>
      <c r="C24" s="277"/>
      <c r="D24" s="304">
        <f>D12</f>
        <v>7831345</v>
      </c>
      <c r="E24" s="307"/>
      <c r="F24" s="307"/>
      <c r="G24" s="307"/>
      <c r="H24" s="307"/>
      <c r="I24" s="307"/>
      <c r="J24" s="307"/>
      <c r="K24" s="277"/>
      <c r="L24" s="277"/>
      <c r="M24" s="304">
        <f>M12</f>
        <v>7714283</v>
      </c>
      <c r="N24" s="277"/>
      <c r="O24" s="277"/>
      <c r="P24" s="277"/>
    </row>
    <row r="25" spans="1:16" s="133" customFormat="1">
      <c r="A25" s="277"/>
      <c r="B25" s="277" t="s">
        <v>338</v>
      </c>
      <c r="C25" s="277"/>
      <c r="D25" s="316">
        <f>D20*0.5</f>
        <v>12182092.125</v>
      </c>
      <c r="E25" s="307"/>
      <c r="F25" s="307"/>
      <c r="G25" s="307"/>
      <c r="H25" s="307"/>
      <c r="I25" s="307"/>
      <c r="J25" s="307"/>
      <c r="K25" s="277"/>
      <c r="L25" s="277"/>
      <c r="M25" s="316">
        <f>M20*0.5</f>
        <v>16004799.918148281</v>
      </c>
      <c r="N25" s="277"/>
      <c r="O25" s="277"/>
      <c r="P25" s="277"/>
    </row>
    <row r="26" spans="1:16" s="133" customFormat="1">
      <c r="A26" s="277" t="s">
        <v>339</v>
      </c>
      <c r="B26" s="277"/>
      <c r="C26" s="277"/>
      <c r="D26" s="304">
        <f>D23+D24-D25</f>
        <v>65261207.875</v>
      </c>
      <c r="E26" s="307"/>
      <c r="F26" s="307"/>
      <c r="G26" s="307"/>
      <c r="H26" s="307"/>
      <c r="I26" s="307"/>
      <c r="J26" s="307"/>
      <c r="K26" s="277"/>
      <c r="L26" s="277"/>
      <c r="M26" s="304">
        <f>M23+M24-M25</f>
        <v>83165482.614127621</v>
      </c>
      <c r="N26" s="277"/>
      <c r="O26" s="277"/>
      <c r="P26" s="277"/>
    </row>
    <row r="27" spans="1:16" s="133" customFormat="1">
      <c r="A27" s="317" t="s">
        <v>340</v>
      </c>
      <c r="B27" s="317"/>
      <c r="C27" s="317"/>
      <c r="D27" s="318">
        <v>1</v>
      </c>
      <c r="E27" s="319"/>
      <c r="F27" s="319"/>
      <c r="G27" s="319"/>
      <c r="H27" s="319"/>
      <c r="I27" s="319"/>
      <c r="J27" s="319"/>
      <c r="K27" s="317"/>
      <c r="L27" s="317"/>
      <c r="M27" s="320">
        <f>D6</f>
        <v>0.77443300000000004</v>
      </c>
      <c r="N27" s="317"/>
      <c r="O27" s="317"/>
      <c r="P27" s="317"/>
    </row>
    <row r="28" spans="1:16" s="133" customFormat="1">
      <c r="A28" s="277" t="s">
        <v>341</v>
      </c>
      <c r="B28" s="277"/>
      <c r="C28" s="277"/>
      <c r="D28" s="304">
        <f>D26*D27</f>
        <v>65261207.875</v>
      </c>
      <c r="E28" s="307"/>
      <c r="F28" s="307"/>
      <c r="G28" s="307"/>
      <c r="H28" s="307"/>
      <c r="I28" s="307"/>
      <c r="J28" s="307"/>
      <c r="K28" s="277"/>
      <c r="L28" s="277"/>
      <c r="M28" s="305">
        <f>M26*M27</f>
        <v>64406094.1973067</v>
      </c>
      <c r="N28" s="277"/>
      <c r="O28" s="277"/>
      <c r="P28" s="277"/>
    </row>
    <row r="29" spans="1:16" s="133" customFormat="1" ht="15.6">
      <c r="A29" s="277" t="s">
        <v>342</v>
      </c>
      <c r="B29" s="277"/>
      <c r="C29" s="277"/>
      <c r="D29" s="310">
        <v>0.12</v>
      </c>
      <c r="E29" s="321"/>
      <c r="F29" s="321"/>
      <c r="G29" s="321"/>
      <c r="H29" s="321"/>
      <c r="I29" s="321"/>
      <c r="J29" s="321"/>
      <c r="K29" s="277"/>
      <c r="L29" s="277"/>
      <c r="M29" s="310">
        <f>D29</f>
        <v>0.12</v>
      </c>
      <c r="N29" s="277"/>
      <c r="O29" s="277"/>
      <c r="P29" s="277"/>
    </row>
    <row r="30" spans="1:16" s="133" customFormat="1" ht="15.6" thickBot="1">
      <c r="A30" s="277" t="s">
        <v>343</v>
      </c>
      <c r="B30" s="277"/>
      <c r="C30" s="277"/>
      <c r="D30" s="312">
        <f>D28*D29</f>
        <v>7831344.9449999994</v>
      </c>
      <c r="E30" s="307"/>
      <c r="F30" s="307"/>
      <c r="G30" s="307"/>
      <c r="H30" s="307"/>
      <c r="I30" s="307"/>
      <c r="J30" s="307"/>
      <c r="K30" s="304">
        <f>D30</f>
        <v>7831344.9449999994</v>
      </c>
      <c r="L30" s="277"/>
      <c r="M30" s="312">
        <f>M28*M29</f>
        <v>7728731.3036768036</v>
      </c>
      <c r="N30" s="277"/>
      <c r="O30" s="277"/>
      <c r="P30" s="277"/>
    </row>
    <row r="31" spans="1:16" s="133" customFormat="1" ht="16.2" thickTop="1">
      <c r="A31" s="277"/>
      <c r="B31" s="277"/>
      <c r="C31" s="277"/>
      <c r="D31" s="313">
        <f>D30/D11</f>
        <v>0.10112359552085202</v>
      </c>
      <c r="E31" s="313"/>
      <c r="F31" s="313"/>
      <c r="G31" s="313"/>
      <c r="H31" s="313"/>
      <c r="I31" s="313"/>
      <c r="J31" s="313"/>
      <c r="K31" s="322">
        <f>K30/K11</f>
        <v>8.7953110343665764E-2</v>
      </c>
      <c r="L31" s="277"/>
      <c r="M31" s="313">
        <f>M30/M11</f>
        <v>7.7287313036768029E-2</v>
      </c>
      <c r="N31" s="322">
        <f>M31*(N83/M83)</f>
        <v>5.0231981935793993E-2</v>
      </c>
      <c r="O31" s="277"/>
      <c r="P31" s="315">
        <f>M31+M58</f>
        <v>7.7447166966318509E-2</v>
      </c>
    </row>
    <row r="32" spans="1:16" s="133" customFormat="1" ht="15.6">
      <c r="A32" s="301" t="s">
        <v>344</v>
      </c>
      <c r="B32" s="277"/>
      <c r="C32" s="277"/>
      <c r="D32" s="277"/>
      <c r="E32" s="323"/>
      <c r="F32" s="323"/>
      <c r="G32" s="323"/>
      <c r="H32" s="323"/>
      <c r="I32" s="323"/>
      <c r="J32" s="277"/>
      <c r="K32" s="277"/>
      <c r="L32" s="277"/>
      <c r="M32" s="277"/>
      <c r="N32" s="277"/>
      <c r="O32" s="277"/>
      <c r="P32" s="277"/>
    </row>
    <row r="33" spans="1:16" s="133" customFormat="1">
      <c r="A33" s="277" t="s">
        <v>333</v>
      </c>
      <c r="B33" s="277"/>
      <c r="C33" s="277"/>
      <c r="D33" s="307"/>
      <c r="E33" s="304">
        <f>E18</f>
        <v>9229059</v>
      </c>
      <c r="F33" s="307"/>
      <c r="G33" s="307"/>
      <c r="H33" s="307"/>
      <c r="I33" s="307"/>
      <c r="J33" s="307"/>
      <c r="K33" s="277"/>
      <c r="L33" s="277"/>
      <c r="M33" s="304">
        <f>M18</f>
        <v>91455999.5322759</v>
      </c>
      <c r="N33" s="277"/>
      <c r="O33" s="277"/>
      <c r="P33" s="277"/>
    </row>
    <row r="34" spans="1:16" s="133" customFormat="1">
      <c r="A34" s="277"/>
      <c r="B34" s="277" t="s">
        <v>345</v>
      </c>
      <c r="C34" s="277"/>
      <c r="D34" s="307"/>
      <c r="E34" s="316">
        <f>E13</f>
        <v>775341</v>
      </c>
      <c r="F34" s="307"/>
      <c r="G34" s="307"/>
      <c r="H34" s="307"/>
      <c r="I34" s="307"/>
      <c r="J34" s="307"/>
      <c r="K34" s="277"/>
      <c r="L34" s="277"/>
      <c r="M34" s="316">
        <f>M13</f>
        <v>730655.40402200003</v>
      </c>
      <c r="N34" s="277"/>
      <c r="O34" s="277"/>
      <c r="P34" s="277"/>
    </row>
    <row r="35" spans="1:16" s="133" customFormat="1">
      <c r="A35" s="277" t="s">
        <v>346</v>
      </c>
      <c r="B35" s="277"/>
      <c r="C35" s="277"/>
      <c r="D35" s="307"/>
      <c r="E35" s="304">
        <f>E33+E34</f>
        <v>10004400</v>
      </c>
      <c r="F35" s="307"/>
      <c r="G35" s="307"/>
      <c r="H35" s="307"/>
      <c r="I35" s="307"/>
      <c r="J35" s="307"/>
      <c r="K35" s="277"/>
      <c r="L35" s="277"/>
      <c r="M35" s="304">
        <f>M33+M34</f>
        <v>92186654.936297894</v>
      </c>
      <c r="N35" s="277"/>
      <c r="O35" s="277"/>
      <c r="P35" s="277"/>
    </row>
    <row r="36" spans="1:16" s="133" customFormat="1">
      <c r="A36" s="317" t="s">
        <v>347</v>
      </c>
      <c r="B36" s="317"/>
      <c r="C36" s="317"/>
      <c r="D36" s="319"/>
      <c r="E36" s="318">
        <v>1</v>
      </c>
      <c r="F36" s="319"/>
      <c r="G36" s="319"/>
      <c r="H36" s="319"/>
      <c r="I36" s="319"/>
      <c r="J36" s="319"/>
      <c r="K36" s="317"/>
      <c r="L36" s="317"/>
      <c r="M36" s="320">
        <f>E6</f>
        <v>0.10004399999999999</v>
      </c>
      <c r="N36" s="317"/>
      <c r="O36" s="317"/>
      <c r="P36" s="317"/>
    </row>
    <row r="37" spans="1:16" s="133" customFormat="1">
      <c r="A37" s="277" t="s">
        <v>348</v>
      </c>
      <c r="B37" s="277"/>
      <c r="C37" s="277"/>
      <c r="D37" s="307"/>
      <c r="E37" s="304">
        <f>E35*E36</f>
        <v>10004400</v>
      </c>
      <c r="F37" s="307"/>
      <c r="G37" s="307"/>
      <c r="H37" s="307"/>
      <c r="I37" s="307"/>
      <c r="J37" s="307"/>
      <c r="K37" s="277"/>
      <c r="L37" s="277"/>
      <c r="M37" s="304">
        <f>M35*M36</f>
        <v>9222721.7064469866</v>
      </c>
      <c r="N37" s="277"/>
      <c r="O37" s="277"/>
      <c r="P37" s="277"/>
    </row>
    <row r="38" spans="1:16" s="133" customFormat="1" ht="15.6">
      <c r="A38" s="277" t="s">
        <v>349</v>
      </c>
      <c r="B38" s="277"/>
      <c r="C38" s="277"/>
      <c r="D38" s="321"/>
      <c r="E38" s="310">
        <v>7.7499999999999999E-2</v>
      </c>
      <c r="F38" s="321"/>
      <c r="G38" s="321"/>
      <c r="H38" s="321"/>
      <c r="I38" s="321"/>
      <c r="J38" s="321"/>
      <c r="K38" s="277"/>
      <c r="L38" s="277"/>
      <c r="M38" s="310">
        <f>E38</f>
        <v>7.7499999999999999E-2</v>
      </c>
      <c r="N38" s="277"/>
      <c r="O38" s="277"/>
      <c r="P38" s="277"/>
    </row>
    <row r="39" spans="1:16" s="133" customFormat="1" ht="15.6" thickBot="1">
      <c r="A39" s="277" t="s">
        <v>350</v>
      </c>
      <c r="B39" s="277"/>
      <c r="C39" s="277"/>
      <c r="D39" s="307"/>
      <c r="E39" s="312">
        <f>E37*E38</f>
        <v>775341</v>
      </c>
      <c r="F39" s="307"/>
      <c r="G39" s="307"/>
      <c r="H39" s="307"/>
      <c r="I39" s="307"/>
      <c r="J39" s="307"/>
      <c r="K39" s="304">
        <f>E39</f>
        <v>775341</v>
      </c>
      <c r="L39" s="277"/>
      <c r="M39" s="312">
        <f>M37*M38</f>
        <v>714760.93224964151</v>
      </c>
      <c r="N39" s="277"/>
      <c r="O39" s="277"/>
      <c r="P39" s="277"/>
    </row>
    <row r="40" spans="1:16" s="133" customFormat="1" ht="16.2" thickTop="1">
      <c r="A40" s="277"/>
      <c r="B40" s="277"/>
      <c r="C40" s="277"/>
      <c r="D40" s="313"/>
      <c r="E40" s="313">
        <f>E39/E11</f>
        <v>7.7499999999999999E-2</v>
      </c>
      <c r="F40" s="313"/>
      <c r="G40" s="313"/>
      <c r="H40" s="313"/>
      <c r="I40" s="313"/>
      <c r="J40" s="313"/>
      <c r="K40" s="322">
        <f>K39/K11</f>
        <v>8.7077830188679248E-3</v>
      </c>
      <c r="L40" s="277"/>
      <c r="M40" s="313">
        <f>M39/M11</f>
        <v>7.1476093224964151E-3</v>
      </c>
      <c r="N40" s="322">
        <f>M40*(N83/M83)</f>
        <v>4.6455047829253244E-3</v>
      </c>
      <c r="O40" s="277"/>
      <c r="P40" s="315">
        <f>M40</f>
        <v>7.1476093224964151E-3</v>
      </c>
    </row>
    <row r="41" spans="1:16" s="133" customFormat="1" ht="15.6">
      <c r="A41" s="301" t="s">
        <v>554</v>
      </c>
      <c r="B41" s="277"/>
      <c r="C41" s="277"/>
      <c r="D41" s="304"/>
      <c r="E41" s="304"/>
      <c r="F41" s="304"/>
      <c r="G41" s="304"/>
      <c r="H41" s="304"/>
      <c r="I41" s="304"/>
      <c r="J41" s="304"/>
      <c r="K41" s="277"/>
      <c r="L41" s="277"/>
      <c r="M41" s="304"/>
      <c r="N41" s="277"/>
      <c r="O41" s="277"/>
      <c r="P41" s="277"/>
    </row>
    <row r="42" spans="1:16" s="133" customFormat="1">
      <c r="A42" s="277" t="s">
        <v>333</v>
      </c>
      <c r="B42" s="277"/>
      <c r="C42" s="277"/>
      <c r="D42" s="307"/>
      <c r="E42" s="307"/>
      <c r="F42" s="304">
        <f>F18</f>
        <v>15000.000000000002</v>
      </c>
      <c r="G42" s="307"/>
      <c r="H42" s="307"/>
      <c r="I42" s="307"/>
      <c r="J42" s="307"/>
      <c r="K42" s="277"/>
      <c r="L42" s="277"/>
      <c r="M42" s="304">
        <f>M18</f>
        <v>91455999.5322759</v>
      </c>
      <c r="N42" s="277"/>
      <c r="O42" s="277"/>
      <c r="P42" s="277"/>
    </row>
    <row r="43" spans="1:16" s="133" customFormat="1">
      <c r="A43" s="277"/>
      <c r="B43" s="277" t="s">
        <v>555</v>
      </c>
      <c r="C43" s="277"/>
      <c r="D43" s="324"/>
      <c r="E43" s="324"/>
      <c r="F43" s="316">
        <f>F14</f>
        <v>1000</v>
      </c>
      <c r="G43" s="324"/>
      <c r="H43" s="324"/>
      <c r="I43" s="324"/>
      <c r="J43" s="324"/>
      <c r="K43" s="277"/>
      <c r="L43" s="277"/>
      <c r="M43" s="316">
        <f>SUM(M12:M17)</f>
        <v>8544000.4677241016</v>
      </c>
      <c r="N43" s="277"/>
      <c r="O43" s="277"/>
      <c r="P43" s="277"/>
    </row>
    <row r="44" spans="1:16" s="133" customFormat="1">
      <c r="A44" s="277" t="s">
        <v>556</v>
      </c>
      <c r="B44" s="277"/>
      <c r="C44" s="277"/>
      <c r="D44" s="307"/>
      <c r="E44" s="307"/>
      <c r="F44" s="304">
        <f>F42+F43</f>
        <v>16000.000000000002</v>
      </c>
      <c r="G44" s="307"/>
      <c r="H44" s="307"/>
      <c r="I44" s="307"/>
      <c r="J44" s="307"/>
      <c r="K44" s="277"/>
      <c r="L44" s="277"/>
      <c r="M44" s="304">
        <f>M42+M43</f>
        <v>100000000</v>
      </c>
      <c r="N44" s="277"/>
      <c r="O44" s="277"/>
      <c r="P44" s="277"/>
    </row>
    <row r="45" spans="1:16" s="133" customFormat="1">
      <c r="A45" s="317" t="s">
        <v>557</v>
      </c>
      <c r="B45" s="317"/>
      <c r="C45" s="317"/>
      <c r="D45" s="319"/>
      <c r="E45" s="319"/>
      <c r="F45" s="318">
        <v>1</v>
      </c>
      <c r="G45" s="319"/>
      <c r="H45" s="319"/>
      <c r="I45" s="319"/>
      <c r="J45" s="319"/>
      <c r="K45" s="317"/>
      <c r="L45" s="317"/>
      <c r="M45" s="320">
        <f>F6</f>
        <v>1.6000000000000001E-4</v>
      </c>
      <c r="N45" s="317"/>
      <c r="O45" s="317"/>
      <c r="P45" s="317"/>
    </row>
    <row r="46" spans="1:16" s="133" customFormat="1">
      <c r="A46" s="277" t="s">
        <v>558</v>
      </c>
      <c r="B46" s="277"/>
      <c r="C46" s="277"/>
      <c r="D46" s="307"/>
      <c r="E46" s="307"/>
      <c r="F46" s="304">
        <f>F44*F45</f>
        <v>16000.000000000002</v>
      </c>
      <c r="G46" s="307"/>
      <c r="H46" s="307"/>
      <c r="I46" s="307"/>
      <c r="J46" s="307"/>
      <c r="K46" s="277"/>
      <c r="L46" s="277"/>
      <c r="M46" s="304">
        <f>M44*M45</f>
        <v>16000.000000000002</v>
      </c>
      <c r="N46" s="277"/>
      <c r="O46" s="277"/>
      <c r="P46" s="277"/>
    </row>
    <row r="47" spans="1:16" s="133" customFormat="1" ht="15.6">
      <c r="A47" s="277" t="s">
        <v>559</v>
      </c>
      <c r="B47" s="277"/>
      <c r="C47" s="277"/>
      <c r="D47" s="321"/>
      <c r="E47" s="321"/>
      <c r="F47" s="310">
        <v>6.25E-2</v>
      </c>
      <c r="G47" s="321"/>
      <c r="H47" s="321"/>
      <c r="I47" s="321"/>
      <c r="J47" s="321"/>
      <c r="K47" s="277"/>
      <c r="L47" s="277"/>
      <c r="M47" s="310">
        <f>F47</f>
        <v>6.25E-2</v>
      </c>
      <c r="N47" s="277"/>
      <c r="O47" s="277"/>
      <c r="P47" s="277"/>
    </row>
    <row r="48" spans="1:16" s="133" customFormat="1" ht="15.6" thickBot="1">
      <c r="A48" s="277" t="s">
        <v>560</v>
      </c>
      <c r="B48" s="277"/>
      <c r="C48" s="277"/>
      <c r="D48" s="324"/>
      <c r="E48" s="324"/>
      <c r="F48" s="312">
        <f>F46*F47</f>
        <v>1000.0000000000001</v>
      </c>
      <c r="G48" s="324"/>
      <c r="H48" s="324"/>
      <c r="I48" s="324"/>
      <c r="J48" s="324"/>
      <c r="K48" s="304">
        <f>F48</f>
        <v>1000.0000000000001</v>
      </c>
      <c r="L48" s="277"/>
      <c r="M48" s="312">
        <f>M46*M47</f>
        <v>1000.0000000000001</v>
      </c>
      <c r="N48" s="277"/>
      <c r="O48" s="277"/>
      <c r="P48" s="277"/>
    </row>
    <row r="49" spans="1:16" s="133" customFormat="1" ht="16.2" thickTop="1">
      <c r="A49" s="277"/>
      <c r="B49" s="277"/>
      <c r="C49" s="277"/>
      <c r="D49" s="313"/>
      <c r="E49" s="313"/>
      <c r="F49" s="313">
        <f>F48/F11</f>
        <v>6.25E-2</v>
      </c>
      <c r="G49" s="313"/>
      <c r="H49" s="313"/>
      <c r="I49" s="313"/>
      <c r="J49" s="313"/>
      <c r="K49" s="322">
        <f>K48/K11</f>
        <v>1.1230907457322553E-5</v>
      </c>
      <c r="L49" s="277"/>
      <c r="M49" s="313">
        <f>M48/M11</f>
        <v>1.0000000000000001E-5</v>
      </c>
      <c r="N49" s="322">
        <f>M49*(N83/M83)</f>
        <v>6.4993826233675693E-6</v>
      </c>
      <c r="O49" s="277"/>
      <c r="P49" s="315">
        <f>M49</f>
        <v>1.0000000000000001E-5</v>
      </c>
    </row>
    <row r="50" spans="1:16" s="133" customFormat="1" ht="15.6">
      <c r="A50" s="301" t="s">
        <v>351</v>
      </c>
      <c r="B50" s="277"/>
      <c r="C50" s="277"/>
      <c r="D50" s="277"/>
      <c r="E50" s="277"/>
      <c r="F50" s="277"/>
      <c r="G50" s="277"/>
      <c r="H50" s="277"/>
      <c r="I50" s="277"/>
      <c r="J50" s="277"/>
      <c r="K50" s="277"/>
      <c r="L50" s="277"/>
      <c r="M50" s="277"/>
      <c r="N50" s="277"/>
      <c r="O50" s="277"/>
      <c r="P50" s="277"/>
    </row>
    <row r="51" spans="1:16" s="133" customFormat="1">
      <c r="A51" s="277" t="s">
        <v>333</v>
      </c>
      <c r="B51" s="277"/>
      <c r="C51" s="277"/>
      <c r="D51" s="307"/>
      <c r="E51" s="307"/>
      <c r="F51" s="307"/>
      <c r="G51" s="304">
        <f>G18</f>
        <v>207587</v>
      </c>
      <c r="H51" s="304"/>
      <c r="I51" s="304"/>
      <c r="J51" s="304"/>
      <c r="K51" s="277"/>
      <c r="L51" s="277"/>
      <c r="M51" s="304">
        <f>M18</f>
        <v>91455999.5322759</v>
      </c>
      <c r="N51" s="277"/>
      <c r="O51" s="277"/>
      <c r="P51" s="277"/>
    </row>
    <row r="52" spans="1:16" s="133" customFormat="1">
      <c r="A52" s="277"/>
      <c r="B52" s="277" t="s">
        <v>561</v>
      </c>
      <c r="C52" s="277"/>
      <c r="D52" s="325"/>
      <c r="E52" s="325"/>
      <c r="F52" s="325"/>
      <c r="G52" s="326" t="s">
        <v>352</v>
      </c>
      <c r="H52" s="325"/>
      <c r="I52" s="325"/>
      <c r="J52" s="325"/>
      <c r="K52" s="277"/>
      <c r="L52" s="277"/>
      <c r="M52" s="326" t="s">
        <v>352</v>
      </c>
      <c r="N52" s="277"/>
      <c r="O52" s="277"/>
      <c r="P52" s="277"/>
    </row>
    <row r="53" spans="1:16" s="133" customFormat="1">
      <c r="A53" s="277" t="s">
        <v>353</v>
      </c>
      <c r="B53" s="277"/>
      <c r="C53" s="277"/>
      <c r="D53" s="307"/>
      <c r="E53" s="307"/>
      <c r="F53" s="307"/>
      <c r="G53" s="304">
        <f>G51</f>
        <v>207587</v>
      </c>
      <c r="H53" s="304"/>
      <c r="I53" s="304"/>
      <c r="J53" s="304"/>
      <c r="K53" s="277"/>
      <c r="L53" s="277"/>
      <c r="M53" s="304">
        <f>M51</f>
        <v>91455999.5322759</v>
      </c>
      <c r="N53" s="277"/>
      <c r="O53" s="277"/>
      <c r="P53" s="277"/>
    </row>
    <row r="54" spans="1:16" s="133" customFormat="1">
      <c r="A54" s="317" t="s">
        <v>354</v>
      </c>
      <c r="B54" s="317"/>
      <c r="C54" s="317"/>
      <c r="D54" s="319"/>
      <c r="E54" s="319"/>
      <c r="F54" s="319"/>
      <c r="G54" s="318">
        <v>1</v>
      </c>
      <c r="H54" s="319"/>
      <c r="I54" s="319"/>
      <c r="J54" s="319"/>
      <c r="K54" s="317"/>
      <c r="L54" s="317"/>
      <c r="M54" s="320">
        <f>G6</f>
        <v>2.238E-3</v>
      </c>
      <c r="N54" s="317"/>
      <c r="O54" s="317"/>
      <c r="P54" s="317"/>
    </row>
    <row r="55" spans="1:16" s="133" customFormat="1">
      <c r="A55" s="277" t="s">
        <v>355</v>
      </c>
      <c r="B55" s="277"/>
      <c r="C55" s="277"/>
      <c r="D55" s="307"/>
      <c r="E55" s="307"/>
      <c r="F55" s="307"/>
      <c r="G55" s="304">
        <f>G53*G54</f>
        <v>207587</v>
      </c>
      <c r="H55" s="304"/>
      <c r="I55" s="304"/>
      <c r="J55" s="304"/>
      <c r="K55" s="277"/>
      <c r="L55" s="277"/>
      <c r="M55" s="304">
        <f>M53*M54</f>
        <v>204678.52695323346</v>
      </c>
      <c r="N55" s="277"/>
      <c r="O55" s="277"/>
      <c r="P55" s="277"/>
    </row>
    <row r="56" spans="1:16" s="133" customFormat="1" ht="15.6">
      <c r="A56" s="277" t="s">
        <v>356</v>
      </c>
      <c r="B56" s="277"/>
      <c r="C56" s="277"/>
      <c r="D56" s="321"/>
      <c r="E56" s="321"/>
      <c r="F56" s="321"/>
      <c r="G56" s="310">
        <v>7.8100000000000003E-2</v>
      </c>
      <c r="H56" s="311"/>
      <c r="I56" s="311"/>
      <c r="J56" s="311"/>
      <c r="K56" s="327"/>
      <c r="L56" s="327"/>
      <c r="M56" s="310">
        <f>G56</f>
        <v>7.8100000000000003E-2</v>
      </c>
      <c r="N56" s="277"/>
      <c r="O56" s="277"/>
      <c r="P56" s="277"/>
    </row>
    <row r="57" spans="1:16" s="133" customFormat="1" ht="15.6" thickBot="1">
      <c r="A57" s="277" t="s">
        <v>357</v>
      </c>
      <c r="B57" s="277"/>
      <c r="C57" s="277"/>
      <c r="D57" s="307"/>
      <c r="E57" s="307"/>
      <c r="F57" s="307"/>
      <c r="G57" s="312">
        <f>G55*G56</f>
        <v>16212.5447</v>
      </c>
      <c r="H57" s="307"/>
      <c r="I57" s="307"/>
      <c r="J57" s="307"/>
      <c r="K57" s="304">
        <f>G57</f>
        <v>16212.5447</v>
      </c>
      <c r="L57" s="277"/>
      <c r="M57" s="312">
        <f>M55*M56</f>
        <v>15985.392955047535</v>
      </c>
      <c r="N57" s="277"/>
      <c r="O57" s="277"/>
      <c r="P57" s="277"/>
    </row>
    <row r="58" spans="1:16" s="133" customFormat="1" ht="16.2" thickTop="1">
      <c r="A58" s="328" t="s">
        <v>358</v>
      </c>
      <c r="B58" s="280"/>
      <c r="C58" s="277"/>
      <c r="D58" s="313"/>
      <c r="E58" s="313"/>
      <c r="F58" s="313"/>
      <c r="G58" s="313">
        <f>G57/G11</f>
        <v>7.2442112153708674E-2</v>
      </c>
      <c r="H58" s="313"/>
      <c r="I58" s="313"/>
      <c r="J58" s="313"/>
      <c r="K58" s="322">
        <f>K57/K11</f>
        <v>1.8208158917340522E-4</v>
      </c>
      <c r="L58" s="277"/>
      <c r="M58" s="313">
        <f>M57/M11</f>
        <v>1.5985392955047536E-4</v>
      </c>
      <c r="N58" s="322">
        <f>M58*(N83/M83)</f>
        <v>1.0389518519973831E-4</v>
      </c>
      <c r="O58" s="277"/>
      <c r="P58" s="277" t="s">
        <v>537</v>
      </c>
    </row>
    <row r="59" spans="1:16" s="133" customFormat="1" ht="15.6">
      <c r="A59" s="328" t="s">
        <v>359</v>
      </c>
      <c r="B59" s="280"/>
      <c r="C59" s="277"/>
      <c r="D59" s="313"/>
      <c r="E59" s="313"/>
      <c r="F59" s="313"/>
      <c r="G59" s="313"/>
      <c r="H59" s="313"/>
      <c r="I59" s="313"/>
      <c r="J59" s="313"/>
      <c r="K59" s="322"/>
      <c r="L59" s="277"/>
      <c r="M59" s="313"/>
      <c r="N59" s="322"/>
      <c r="O59" s="277"/>
      <c r="P59" s="277"/>
    </row>
    <row r="60" spans="1:16" s="133" customFormat="1" ht="15.6">
      <c r="A60" s="277"/>
      <c r="B60" s="277"/>
      <c r="C60" s="277"/>
      <c r="D60" s="313"/>
      <c r="E60" s="313"/>
      <c r="F60" s="313"/>
      <c r="G60" s="313"/>
      <c r="H60" s="313"/>
      <c r="I60" s="313"/>
      <c r="J60" s="313"/>
      <c r="K60" s="322"/>
      <c r="L60" s="277"/>
      <c r="M60" s="315"/>
      <c r="N60" s="315"/>
      <c r="O60" s="277"/>
      <c r="P60" s="277"/>
    </row>
    <row r="61" spans="1:16" s="133" customFormat="1" ht="15.6">
      <c r="A61" s="301" t="s">
        <v>562</v>
      </c>
      <c r="B61" s="277"/>
      <c r="C61" s="277"/>
      <c r="D61" s="313"/>
      <c r="E61" s="313"/>
      <c r="F61" s="313"/>
      <c r="G61" s="313"/>
      <c r="H61" s="313"/>
      <c r="I61" s="313"/>
      <c r="J61" s="313"/>
      <c r="K61" s="322"/>
      <c r="L61" s="277"/>
      <c r="M61" s="315"/>
      <c r="N61" s="315"/>
      <c r="O61" s="277"/>
      <c r="P61" s="277"/>
    </row>
    <row r="62" spans="1:16" s="133" customFormat="1" ht="15.6">
      <c r="A62" s="277" t="s">
        <v>333</v>
      </c>
      <c r="B62" s="277"/>
      <c r="C62" s="277"/>
      <c r="D62" s="313"/>
      <c r="E62" s="313"/>
      <c r="F62" s="313"/>
      <c r="G62" s="313"/>
      <c r="H62" s="304">
        <f>H18</f>
        <v>1189946</v>
      </c>
      <c r="I62" s="313"/>
      <c r="J62" s="313"/>
      <c r="K62" s="322"/>
      <c r="L62" s="277"/>
      <c r="M62" s="304">
        <f>M18</f>
        <v>91455999.5322759</v>
      </c>
      <c r="N62" s="315"/>
      <c r="O62" s="277"/>
      <c r="P62" s="277"/>
    </row>
    <row r="63" spans="1:16" s="133" customFormat="1" ht="15.6">
      <c r="A63" s="277"/>
      <c r="B63" s="277" t="s">
        <v>563</v>
      </c>
      <c r="C63" s="277"/>
      <c r="D63" s="313"/>
      <c r="E63" s="313"/>
      <c r="F63" s="313"/>
      <c r="G63" s="313"/>
      <c r="H63" s="329">
        <f>H16</f>
        <v>75954</v>
      </c>
      <c r="I63" s="313"/>
      <c r="J63" s="313"/>
      <c r="K63" s="322"/>
      <c r="L63" s="277"/>
      <c r="M63" s="316">
        <f>SUM(M12:M17)</f>
        <v>8544000.4677241016</v>
      </c>
      <c r="N63" s="315"/>
      <c r="O63" s="277"/>
      <c r="P63" s="277"/>
    </row>
    <row r="64" spans="1:16" s="133" customFormat="1" ht="15.6">
      <c r="A64" s="277" t="s">
        <v>564</v>
      </c>
      <c r="B64" s="277"/>
      <c r="C64" s="277"/>
      <c r="D64" s="313"/>
      <c r="E64" s="313"/>
      <c r="F64" s="313"/>
      <c r="G64" s="313"/>
      <c r="H64" s="304">
        <f>H62+H63</f>
        <v>1265900</v>
      </c>
      <c r="I64" s="313"/>
      <c r="J64" s="313"/>
      <c r="K64" s="322"/>
      <c r="L64" s="277"/>
      <c r="M64" s="304">
        <f>M62+M63</f>
        <v>100000000</v>
      </c>
      <c r="N64" s="315"/>
      <c r="O64" s="277"/>
      <c r="P64" s="277"/>
    </row>
    <row r="65" spans="1:16" ht="15.6">
      <c r="A65" s="317" t="s">
        <v>565</v>
      </c>
      <c r="B65" s="317"/>
      <c r="C65" s="277"/>
      <c r="D65" s="313"/>
      <c r="E65" s="313"/>
      <c r="F65" s="313"/>
      <c r="G65" s="313"/>
      <c r="H65" s="318">
        <v>1</v>
      </c>
      <c r="I65" s="313"/>
      <c r="J65" s="313"/>
      <c r="K65" s="322"/>
      <c r="L65" s="277"/>
      <c r="M65" s="320">
        <f>H6</f>
        <v>1.2659E-2</v>
      </c>
      <c r="N65" s="315"/>
      <c r="O65" s="277"/>
      <c r="P65" s="277"/>
    </row>
    <row r="66" spans="1:16" ht="15.6">
      <c r="A66" s="277" t="s">
        <v>566</v>
      </c>
      <c r="B66" s="277"/>
      <c r="C66" s="277"/>
      <c r="D66" s="313"/>
      <c r="E66" s="313"/>
      <c r="F66" s="313"/>
      <c r="G66" s="313"/>
      <c r="H66" s="304">
        <f>H64*H65</f>
        <v>1265900</v>
      </c>
      <c r="I66" s="313"/>
      <c r="J66" s="313"/>
      <c r="K66" s="322"/>
      <c r="L66" s="277"/>
      <c r="M66" s="304">
        <f>M64*M65</f>
        <v>1265900</v>
      </c>
      <c r="N66" s="315"/>
      <c r="O66" s="277"/>
      <c r="P66" s="277"/>
    </row>
    <row r="67" spans="1:16" ht="15.6">
      <c r="A67" s="277" t="s">
        <v>567</v>
      </c>
      <c r="B67" s="277"/>
      <c r="C67" s="277"/>
      <c r="D67" s="313"/>
      <c r="E67" s="313"/>
      <c r="F67" s="313"/>
      <c r="G67" s="313"/>
      <c r="H67" s="310">
        <v>0.06</v>
      </c>
      <c r="I67" s="313"/>
      <c r="J67" s="313"/>
      <c r="K67" s="322"/>
      <c r="L67" s="277"/>
      <c r="M67" s="310">
        <f>H67</f>
        <v>0.06</v>
      </c>
      <c r="N67" s="315"/>
      <c r="O67" s="277"/>
      <c r="P67" s="277"/>
    </row>
    <row r="68" spans="1:16" ht="16.2" thickBot="1">
      <c r="A68" s="277" t="s">
        <v>568</v>
      </c>
      <c r="B68" s="277"/>
      <c r="C68" s="277"/>
      <c r="D68" s="313"/>
      <c r="E68" s="313"/>
      <c r="F68" s="313"/>
      <c r="G68" s="313"/>
      <c r="H68" s="312">
        <f>H66*H67</f>
        <v>75954</v>
      </c>
      <c r="I68" s="313"/>
      <c r="J68" s="313"/>
      <c r="K68" s="304">
        <f>H68</f>
        <v>75954</v>
      </c>
      <c r="L68" s="277"/>
      <c r="M68" s="312">
        <f>M66*M67</f>
        <v>75954</v>
      </c>
      <c r="N68" s="315"/>
      <c r="O68" s="277"/>
      <c r="P68" s="277"/>
    </row>
    <row r="69" spans="1:16" ht="16.2" thickTop="1">
      <c r="A69" s="277"/>
      <c r="B69" s="277"/>
      <c r="C69" s="277"/>
      <c r="D69" s="313"/>
      <c r="E69" s="313"/>
      <c r="F69" s="313"/>
      <c r="G69" s="313"/>
      <c r="H69" s="313">
        <f>H68/H11</f>
        <v>0.06</v>
      </c>
      <c r="I69" s="313"/>
      <c r="J69" s="313"/>
      <c r="K69" s="322">
        <f>K68/K11</f>
        <v>8.5303234501347708E-4</v>
      </c>
      <c r="L69" s="277"/>
      <c r="M69" s="313">
        <f>M68/M11</f>
        <v>7.5953999999999995E-4</v>
      </c>
      <c r="N69" s="322">
        <f>M69*(N83/M83)</f>
        <v>4.9365410777526034E-4</v>
      </c>
      <c r="O69" s="277"/>
      <c r="P69" s="315">
        <f>M69</f>
        <v>7.5953999999999995E-4</v>
      </c>
    </row>
    <row r="70" spans="1:16" ht="15.6">
      <c r="A70" s="277"/>
      <c r="B70" s="277"/>
      <c r="C70" s="277"/>
      <c r="D70" s="313"/>
      <c r="E70" s="313"/>
      <c r="F70" s="313"/>
      <c r="G70" s="313"/>
      <c r="H70" s="313"/>
      <c r="I70" s="313"/>
      <c r="J70" s="313"/>
      <c r="K70" s="322"/>
      <c r="L70" s="277"/>
      <c r="M70" s="315"/>
      <c r="N70" s="315"/>
      <c r="O70" s="277"/>
      <c r="P70" s="277"/>
    </row>
    <row r="71" spans="1:16" ht="15.6">
      <c r="A71" s="301" t="s">
        <v>701</v>
      </c>
      <c r="B71" s="277"/>
      <c r="C71" s="277"/>
      <c r="D71" s="313"/>
      <c r="E71" s="313"/>
      <c r="F71" s="313"/>
      <c r="G71" s="313"/>
      <c r="H71" s="313"/>
      <c r="I71" s="313"/>
      <c r="J71" s="313"/>
      <c r="K71" s="322"/>
      <c r="L71" s="277"/>
      <c r="M71" s="315"/>
      <c r="N71" s="315"/>
      <c r="O71" s="277"/>
      <c r="P71" s="277"/>
    </row>
    <row r="72" spans="1:16" ht="15.6">
      <c r="A72" s="277" t="s">
        <v>333</v>
      </c>
      <c r="B72" s="277"/>
      <c r="C72" s="277"/>
      <c r="D72" s="313"/>
      <c r="E72" s="313"/>
      <c r="F72" s="313"/>
      <c r="G72" s="313"/>
      <c r="H72" s="313"/>
      <c r="I72" s="304">
        <f>I18</f>
        <v>80538</v>
      </c>
      <c r="J72" s="313"/>
      <c r="K72" s="322"/>
      <c r="L72" s="277"/>
      <c r="M72" s="304">
        <f>M18</f>
        <v>91455999.5322759</v>
      </c>
      <c r="N72" s="315"/>
      <c r="O72" s="277"/>
      <c r="P72" s="277"/>
    </row>
    <row r="73" spans="1:16" ht="15.6">
      <c r="A73" s="277"/>
      <c r="B73" s="277" t="s">
        <v>702</v>
      </c>
      <c r="C73" s="277"/>
      <c r="D73" s="313"/>
      <c r="E73" s="313"/>
      <c r="F73" s="313"/>
      <c r="G73" s="313"/>
      <c r="H73" s="313"/>
      <c r="I73" s="329">
        <f>I17</f>
        <v>6062</v>
      </c>
      <c r="J73" s="313"/>
      <c r="K73" s="322"/>
      <c r="L73" s="277"/>
      <c r="M73" s="316">
        <f>SUM(M12:M17)</f>
        <v>8544000.4677241016</v>
      </c>
      <c r="N73" s="315"/>
      <c r="O73" s="277"/>
      <c r="P73" s="277"/>
    </row>
    <row r="74" spans="1:16" ht="15.6">
      <c r="A74" s="277" t="s">
        <v>703</v>
      </c>
      <c r="B74" s="277"/>
      <c r="C74" s="277"/>
      <c r="D74" s="313"/>
      <c r="E74" s="313"/>
      <c r="F74" s="313"/>
      <c r="G74" s="313"/>
      <c r="H74" s="313"/>
      <c r="I74" s="304">
        <f>I72+I73</f>
        <v>86600</v>
      </c>
      <c r="J74" s="313"/>
      <c r="K74" s="322"/>
      <c r="L74" s="277"/>
      <c r="M74" s="304">
        <f>M72+M73</f>
        <v>100000000</v>
      </c>
      <c r="N74" s="315"/>
      <c r="O74" s="277"/>
      <c r="P74" s="277"/>
    </row>
    <row r="75" spans="1:16" ht="15.6">
      <c r="A75" s="317" t="s">
        <v>704</v>
      </c>
      <c r="B75" s="317"/>
      <c r="C75" s="277"/>
      <c r="D75" s="313"/>
      <c r="E75" s="313"/>
      <c r="F75" s="313"/>
      <c r="G75" s="313"/>
      <c r="H75" s="313"/>
      <c r="I75" s="318">
        <v>1</v>
      </c>
      <c r="J75" s="313"/>
      <c r="K75" s="322"/>
      <c r="L75" s="277"/>
      <c r="M75" s="320">
        <f>I6</f>
        <v>8.6600000000000002E-4</v>
      </c>
      <c r="N75" s="315"/>
      <c r="O75" s="277"/>
      <c r="P75" s="277"/>
    </row>
    <row r="76" spans="1:16" ht="15.6">
      <c r="A76" s="277" t="s">
        <v>705</v>
      </c>
      <c r="B76" s="277"/>
      <c r="C76" s="277"/>
      <c r="D76" s="313"/>
      <c r="E76" s="313"/>
      <c r="F76" s="313"/>
      <c r="G76" s="313"/>
      <c r="H76" s="313"/>
      <c r="I76" s="304">
        <f>I74*I75</f>
        <v>86600</v>
      </c>
      <c r="J76" s="313"/>
      <c r="K76" s="322"/>
      <c r="L76" s="277"/>
      <c r="M76" s="304">
        <f>M74*M75</f>
        <v>86600</v>
      </c>
      <c r="N76" s="315"/>
      <c r="O76" s="277"/>
      <c r="P76" s="277"/>
    </row>
    <row r="77" spans="1:16" ht="15.6">
      <c r="A77" s="277" t="s">
        <v>706</v>
      </c>
      <c r="B77" s="277"/>
      <c r="C77" s="277"/>
      <c r="D77" s="313"/>
      <c r="E77" s="313"/>
      <c r="F77" s="313"/>
      <c r="G77" s="313"/>
      <c r="H77" s="313"/>
      <c r="I77" s="310">
        <v>7.0000000000000007E-2</v>
      </c>
      <c r="J77" s="313"/>
      <c r="K77" s="304"/>
      <c r="L77" s="277"/>
      <c r="M77" s="310">
        <f>I77</f>
        <v>7.0000000000000007E-2</v>
      </c>
      <c r="N77" s="315"/>
      <c r="O77" s="277"/>
      <c r="P77" s="277"/>
    </row>
    <row r="78" spans="1:16" ht="16.2" thickBot="1">
      <c r="A78" s="277" t="s">
        <v>707</v>
      </c>
      <c r="B78" s="277"/>
      <c r="C78" s="277"/>
      <c r="D78" s="313"/>
      <c r="E78" s="313"/>
      <c r="F78" s="313"/>
      <c r="G78" s="313"/>
      <c r="H78" s="313"/>
      <c r="I78" s="312">
        <f>I76*I77</f>
        <v>6062.0000000000009</v>
      </c>
      <c r="J78" s="313"/>
      <c r="K78" s="304">
        <f>I78</f>
        <v>6062.0000000000009</v>
      </c>
      <c r="L78" s="277"/>
      <c r="M78" s="312">
        <f>M76*M77</f>
        <v>6062.0000000000009</v>
      </c>
      <c r="N78" s="315"/>
      <c r="O78" s="277"/>
      <c r="P78" s="277"/>
    </row>
    <row r="79" spans="1:16" ht="16.2" thickTop="1">
      <c r="A79" s="277"/>
      <c r="B79" s="277"/>
      <c r="C79" s="277"/>
      <c r="D79" s="313"/>
      <c r="E79" s="313"/>
      <c r="F79" s="313"/>
      <c r="G79" s="313"/>
      <c r="H79" s="313"/>
      <c r="I79" s="313">
        <f>I78/I11</f>
        <v>7.0000000000000007E-2</v>
      </c>
      <c r="J79" s="313"/>
      <c r="K79" s="322">
        <f>K78/K11</f>
        <v>6.8081761006289317E-5</v>
      </c>
      <c r="L79" s="277"/>
      <c r="M79" s="313">
        <f>M78/M11</f>
        <v>6.0620000000000006E-5</v>
      </c>
      <c r="N79" s="322">
        <f>M79*(N83/M83)</f>
        <v>3.9399257462854205E-5</v>
      </c>
      <c r="O79" s="277"/>
      <c r="P79" s="315">
        <f>M79</f>
        <v>6.0620000000000006E-5</v>
      </c>
    </row>
    <row r="80" spans="1:16" ht="15.6">
      <c r="A80" s="277"/>
      <c r="B80" s="277"/>
      <c r="C80" s="277"/>
      <c r="D80" s="313"/>
      <c r="E80" s="313"/>
      <c r="F80" s="313"/>
      <c r="G80" s="313"/>
      <c r="H80" s="313"/>
      <c r="I80" s="313"/>
      <c r="J80" s="313"/>
      <c r="K80" s="322"/>
      <c r="L80" s="277"/>
      <c r="M80" s="315"/>
      <c r="N80" s="315"/>
      <c r="O80" s="277"/>
      <c r="P80" s="277"/>
    </row>
    <row r="81" spans="1:16" ht="15.6">
      <c r="A81" s="277"/>
      <c r="B81" s="277"/>
      <c r="C81" s="277"/>
      <c r="D81" s="313"/>
      <c r="E81" s="313"/>
      <c r="F81" s="313"/>
      <c r="G81" s="313"/>
      <c r="H81" s="313"/>
      <c r="I81" s="313"/>
      <c r="J81" s="313"/>
      <c r="K81" s="277"/>
      <c r="L81" s="277"/>
      <c r="M81" s="277"/>
      <c r="N81" s="313">
        <f>N21+N31+N40+N49+N58+N69+N79</f>
        <v>0.40552093465178052</v>
      </c>
      <c r="O81" s="277"/>
      <c r="P81" s="277"/>
    </row>
    <row r="82" spans="1:16" ht="21.6" thickBot="1">
      <c r="A82" s="277"/>
      <c r="B82" s="277" t="s">
        <v>360</v>
      </c>
      <c r="C82" s="277"/>
      <c r="D82" s="313">
        <f>D21+D31</f>
        <v>0.41573033683998489</v>
      </c>
      <c r="E82" s="313">
        <f>E21+E40</f>
        <v>0.40037499999999998</v>
      </c>
      <c r="F82" s="313">
        <f>F21+F49</f>
        <v>0.39062499999999994</v>
      </c>
      <c r="G82" s="313">
        <f>G21+G58</f>
        <v>0.39708666085790884</v>
      </c>
      <c r="H82" s="313">
        <f>H21+H69</f>
        <v>0.38899999999999996</v>
      </c>
      <c r="I82" s="313">
        <f>+I21+I79</f>
        <v>0.39550000000000002</v>
      </c>
      <c r="J82" s="313"/>
      <c r="K82" s="313">
        <f>K21+K31+K40+K49+K58+K69+K79</f>
        <v>0.41355395597147354</v>
      </c>
      <c r="L82" s="277"/>
      <c r="M82" s="330">
        <f>M21+M31+M40+M49+M58+M69+M79</f>
        <v>0.40552093465178052</v>
      </c>
      <c r="N82" s="313">
        <f>M82</f>
        <v>0.40552093465178052</v>
      </c>
      <c r="O82" s="277"/>
      <c r="P82" s="315">
        <f>P21+P31+P40</f>
        <v>0.40469077465178055</v>
      </c>
    </row>
    <row r="83" spans="1:16" ht="15.6" thickTop="1">
      <c r="A83" s="277"/>
      <c r="B83" s="277"/>
      <c r="C83" s="277"/>
      <c r="D83" s="277"/>
      <c r="E83" s="277"/>
      <c r="F83" s="277"/>
      <c r="G83" s="277"/>
      <c r="H83" s="277"/>
      <c r="I83" s="277"/>
      <c r="J83" s="277"/>
      <c r="K83" s="277"/>
      <c r="L83" s="277"/>
      <c r="M83" s="334">
        <f>N82-M21</f>
        <v>8.5424936288814923E-2</v>
      </c>
      <c r="N83" s="331">
        <f>N82-N21</f>
        <v>5.552093465178054E-2</v>
      </c>
      <c r="O83" s="277"/>
      <c r="P83" s="277"/>
    </row>
    <row r="84" spans="1:16" ht="16.2" thickBot="1">
      <c r="A84" s="277"/>
      <c r="B84" s="277" t="s">
        <v>361</v>
      </c>
      <c r="C84" s="277" t="s">
        <v>538</v>
      </c>
      <c r="D84" s="277"/>
      <c r="E84" s="277"/>
      <c r="F84" s="277"/>
      <c r="G84" s="277"/>
      <c r="H84" s="277"/>
      <c r="I84" s="277"/>
      <c r="J84" s="277"/>
      <c r="K84" s="277"/>
      <c r="L84" s="277"/>
      <c r="M84" s="332" t="s">
        <v>362</v>
      </c>
      <c r="N84" s="333"/>
      <c r="O84" s="277"/>
      <c r="P84" s="277"/>
    </row>
    <row r="85" spans="1:16">
      <c r="A85" s="277"/>
      <c r="B85" s="277"/>
      <c r="C85" s="277" t="s">
        <v>569</v>
      </c>
      <c r="D85" s="277"/>
      <c r="E85" s="277"/>
      <c r="F85" s="277"/>
      <c r="G85" s="277"/>
      <c r="H85" s="277"/>
      <c r="I85" s="277"/>
      <c r="J85" s="277"/>
      <c r="K85" s="277"/>
      <c r="L85" s="277"/>
      <c r="M85" s="277"/>
      <c r="N85" s="277"/>
      <c r="O85" s="277"/>
      <c r="P85" s="277"/>
    </row>
  </sheetData>
  <pageMargins left="0.2" right="0.2" top="0.25" bottom="0.25" header="0.25" footer="0.25"/>
  <pageSetup scale="4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selection activeCell="A5" sqref="A5"/>
    </sheetView>
  </sheetViews>
  <sheetFormatPr defaultRowHeight="15"/>
  <cols>
    <col min="3" max="3" width="14.36328125" bestFit="1" customWidth="1"/>
  </cols>
  <sheetData>
    <row r="1" spans="1:10">
      <c r="A1" t="s">
        <v>280</v>
      </c>
    </row>
    <row r="2" spans="1:10">
      <c r="A2" t="s">
        <v>598</v>
      </c>
    </row>
    <row r="3" spans="1:10">
      <c r="A3" t="s">
        <v>599</v>
      </c>
    </row>
    <row r="4" spans="1:10">
      <c r="A4" s="348">
        <v>2017</v>
      </c>
    </row>
    <row r="8" spans="1:10" ht="15.6">
      <c r="A8" s="349">
        <v>1</v>
      </c>
      <c r="B8" s="347" t="s">
        <v>156</v>
      </c>
      <c r="C8" s="123">
        <f>tax!M19</f>
        <v>0.35</v>
      </c>
      <c r="D8" s="347"/>
      <c r="E8" s="347"/>
      <c r="F8" s="347"/>
      <c r="G8" s="347"/>
      <c r="H8" s="347"/>
      <c r="I8" s="347"/>
      <c r="J8" s="347"/>
    </row>
    <row r="9" spans="1:10" ht="15.6">
      <c r="A9" s="349">
        <v>2</v>
      </c>
      <c r="B9" s="347" t="s">
        <v>157</v>
      </c>
      <c r="C9" s="123">
        <f>tax!M83</f>
        <v>8.5424936288814923E-2</v>
      </c>
      <c r="D9" s="454" t="s">
        <v>158</v>
      </c>
      <c r="E9" s="454"/>
      <c r="F9" s="454"/>
      <c r="G9" s="454"/>
      <c r="H9" s="454"/>
      <c r="I9" s="454"/>
      <c r="J9" s="454"/>
    </row>
    <row r="10" spans="1:10" ht="15.6">
      <c r="A10" s="349"/>
      <c r="B10" s="347"/>
      <c r="C10" s="350"/>
      <c r="D10" s="347"/>
      <c r="E10" s="347"/>
      <c r="F10" s="347"/>
      <c r="G10" s="347"/>
      <c r="H10" s="347"/>
      <c r="I10" s="347"/>
      <c r="J10" s="347"/>
    </row>
    <row r="11" spans="1:10" ht="15.6">
      <c r="A11" s="349">
        <v>3</v>
      </c>
      <c r="B11" s="347"/>
      <c r="C11" s="351">
        <f>tax!M25</f>
        <v>16004799.918148281</v>
      </c>
      <c r="D11" s="352" t="s">
        <v>600</v>
      </c>
      <c r="E11" s="347"/>
      <c r="F11" s="347"/>
      <c r="G11" s="347"/>
      <c r="H11" s="347"/>
      <c r="I11" s="347"/>
      <c r="J11" s="347"/>
    </row>
    <row r="12" spans="1:10" ht="15.6">
      <c r="A12" s="349">
        <v>4</v>
      </c>
      <c r="B12" s="347"/>
      <c r="C12" s="351">
        <f>tax!M11</f>
        <v>100000000</v>
      </c>
      <c r="D12" s="352" t="s">
        <v>601</v>
      </c>
      <c r="E12" s="347"/>
      <c r="F12" s="347"/>
      <c r="G12" s="347"/>
      <c r="H12" s="347"/>
      <c r="I12" s="347"/>
      <c r="J12" s="347"/>
    </row>
    <row r="13" spans="1:10" ht="15.6">
      <c r="A13" s="349"/>
      <c r="B13" s="347"/>
      <c r="C13" s="351"/>
      <c r="D13" s="352"/>
      <c r="E13" s="347"/>
      <c r="F13" s="347"/>
      <c r="G13" s="347"/>
      <c r="H13" s="347"/>
      <c r="I13" s="347"/>
      <c r="J13" s="347"/>
    </row>
    <row r="14" spans="1:10" ht="15.6">
      <c r="A14" s="349">
        <v>5</v>
      </c>
      <c r="B14" s="347" t="s">
        <v>159</v>
      </c>
      <c r="C14" s="123">
        <f>C11/C12</f>
        <v>0.1600479991814828</v>
      </c>
      <c r="D14" s="454" t="s">
        <v>160</v>
      </c>
      <c r="E14" s="454"/>
      <c r="F14" s="454"/>
      <c r="G14" s="454"/>
      <c r="H14" s="454"/>
      <c r="I14" s="454"/>
      <c r="J14" s="454"/>
    </row>
    <row r="15" spans="1:10">
      <c r="B15" t="s">
        <v>602</v>
      </c>
    </row>
    <row r="19" spans="2:2">
      <c r="B19" t="s">
        <v>603</v>
      </c>
    </row>
  </sheetData>
  <mergeCells count="2">
    <mergeCell ref="D9:J9"/>
    <mergeCell ref="D14:J14"/>
  </mergeCells>
  <pageMargins left="0.7" right="0.7" top="0.75" bottom="0.75" header="0.3" footer="0.3"/>
  <pageSetup scale="8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workbookViewId="0">
      <selection activeCell="G10" sqref="G10"/>
    </sheetView>
  </sheetViews>
  <sheetFormatPr defaultColWidth="8.90625" defaultRowHeight="14.4"/>
  <cols>
    <col min="1" max="1" width="5.36328125" style="381" customWidth="1"/>
    <col min="2" max="2" width="5.08984375" style="381" customWidth="1"/>
    <col min="3" max="3" width="29.90625" style="381" customWidth="1"/>
    <col min="4" max="4" width="8.54296875" style="381" customWidth="1"/>
    <col min="5" max="5" width="8.90625" style="381"/>
    <col min="6" max="6" width="5.6328125" style="381" customWidth="1"/>
    <col min="7" max="7" width="11.90625" style="381" bestFit="1" customWidth="1"/>
    <col min="8" max="16384" width="8.90625" style="381"/>
  </cols>
  <sheetData>
    <row r="1" spans="1:7">
      <c r="A1" s="414" t="s">
        <v>280</v>
      </c>
      <c r="B1" s="415"/>
      <c r="C1" s="415"/>
      <c r="D1" s="415"/>
      <c r="E1" s="415"/>
      <c r="F1" s="415"/>
      <c r="G1" s="415"/>
    </row>
    <row r="2" spans="1:7">
      <c r="A2" s="414" t="s">
        <v>708</v>
      </c>
      <c r="B2" s="415"/>
      <c r="C2" s="415"/>
      <c r="D2" s="415"/>
      <c r="E2" s="415"/>
      <c r="F2" s="415"/>
      <c r="G2" s="415"/>
    </row>
    <row r="3" spans="1:7">
      <c r="A3" s="414" t="s">
        <v>709</v>
      </c>
      <c r="B3" s="415"/>
      <c r="C3" s="415"/>
      <c r="D3" s="415"/>
      <c r="E3" s="415"/>
      <c r="F3" s="415"/>
      <c r="G3" s="415"/>
    </row>
    <row r="4" spans="1:7">
      <c r="A4" s="415"/>
      <c r="B4" s="415"/>
      <c r="C4" s="415"/>
      <c r="D4" s="415"/>
      <c r="E4" s="415"/>
      <c r="F4" s="415"/>
      <c r="G4" s="415"/>
    </row>
    <row r="5" spans="1:7">
      <c r="A5" s="415"/>
      <c r="B5" s="415"/>
      <c r="C5" s="415"/>
      <c r="D5" s="415"/>
      <c r="E5" s="415"/>
      <c r="F5" s="415"/>
      <c r="G5" s="415"/>
    </row>
    <row r="6" spans="1:7">
      <c r="A6" s="415"/>
      <c r="B6" s="415"/>
      <c r="C6" s="415"/>
      <c r="D6" s="415"/>
      <c r="E6" s="415"/>
      <c r="F6" s="415"/>
      <c r="G6" s="415"/>
    </row>
    <row r="7" spans="1:7" ht="27">
      <c r="A7" s="416" t="s">
        <v>570</v>
      </c>
      <c r="B7" s="417" t="s">
        <v>571</v>
      </c>
      <c r="C7" s="415" t="s">
        <v>572</v>
      </c>
      <c r="D7" s="415"/>
      <c r="E7" s="415"/>
      <c r="F7" s="415"/>
      <c r="G7" s="415"/>
    </row>
    <row r="8" spans="1:7">
      <c r="A8" s="415"/>
      <c r="B8" s="417"/>
      <c r="C8" s="415"/>
      <c r="D8" s="415"/>
      <c r="E8" s="415"/>
      <c r="F8" s="415"/>
      <c r="G8" s="415"/>
    </row>
    <row r="9" spans="1:7">
      <c r="A9" s="418">
        <v>1</v>
      </c>
      <c r="B9" s="417"/>
      <c r="C9" s="415" t="s">
        <v>573</v>
      </c>
      <c r="D9" s="415"/>
      <c r="E9" s="415"/>
      <c r="F9" s="415"/>
      <c r="G9" s="419">
        <v>103526371</v>
      </c>
    </row>
    <row r="10" spans="1:7">
      <c r="A10" s="418">
        <v>2</v>
      </c>
      <c r="B10" s="417"/>
      <c r="C10" s="415" t="s">
        <v>574</v>
      </c>
      <c r="D10" s="415"/>
      <c r="E10" s="415"/>
      <c r="F10" s="415"/>
      <c r="G10" s="338">
        <v>105656531</v>
      </c>
    </row>
    <row r="11" spans="1:7">
      <c r="A11" s="418">
        <v>3</v>
      </c>
      <c r="B11" s="417"/>
      <c r="C11" s="415" t="s">
        <v>575</v>
      </c>
      <c r="D11" s="415"/>
      <c r="E11" s="415"/>
      <c r="F11" s="415"/>
      <c r="G11" s="339">
        <f>G9-G10</f>
        <v>-2130160</v>
      </c>
    </row>
    <row r="12" spans="1:7">
      <c r="A12" s="418"/>
      <c r="B12" s="417"/>
      <c r="C12" s="415" t="s">
        <v>576</v>
      </c>
      <c r="D12" s="415"/>
      <c r="E12" s="415"/>
      <c r="F12" s="415"/>
      <c r="G12" s="415"/>
    </row>
    <row r="13" spans="1:7">
      <c r="A13" s="418"/>
      <c r="B13" s="417"/>
      <c r="C13" s="415"/>
      <c r="D13" s="415"/>
      <c r="E13" s="415"/>
      <c r="F13" s="415"/>
      <c r="G13" s="415"/>
    </row>
    <row r="14" spans="1:7">
      <c r="A14" s="418"/>
      <c r="B14" s="417" t="s">
        <v>577</v>
      </c>
      <c r="C14" s="415" t="s">
        <v>578</v>
      </c>
      <c r="D14" s="415"/>
      <c r="E14" s="415"/>
      <c r="F14" s="415"/>
      <c r="G14" s="415"/>
    </row>
    <row r="15" spans="1:7">
      <c r="A15" s="418"/>
      <c r="B15" s="417"/>
      <c r="C15" s="415"/>
      <c r="D15" s="415"/>
      <c r="E15" s="415"/>
      <c r="F15" s="415"/>
      <c r="G15" s="415"/>
    </row>
    <row r="16" spans="1:7">
      <c r="A16" s="418">
        <v>4</v>
      </c>
      <c r="B16" s="417"/>
      <c r="C16" s="415" t="s">
        <v>579</v>
      </c>
      <c r="D16" s="415"/>
      <c r="E16" s="415"/>
      <c r="F16" s="415"/>
      <c r="G16" s="420">
        <f>'[6]Nonlevelized-IOU'!I46</f>
        <v>3785839.083333333</v>
      </c>
    </row>
    <row r="17" spans="1:10">
      <c r="A17" s="418">
        <v>5</v>
      </c>
      <c r="B17" s="417"/>
      <c r="C17" s="415" t="s">
        <v>580</v>
      </c>
      <c r="D17" s="415"/>
      <c r="E17" s="415"/>
      <c r="F17" s="415"/>
      <c r="G17" s="421">
        <v>3995607</v>
      </c>
    </row>
    <row r="18" spans="1:10" ht="15.6">
      <c r="A18" s="418">
        <v>6</v>
      </c>
      <c r="B18" s="417"/>
      <c r="C18" s="415" t="s">
        <v>581</v>
      </c>
      <c r="D18" s="415"/>
      <c r="E18" s="415"/>
      <c r="F18" s="415"/>
      <c r="G18" s="420">
        <f>G17-G16</f>
        <v>209767.91666666698</v>
      </c>
      <c r="J18" s="340"/>
    </row>
    <row r="19" spans="1:10" ht="15.6">
      <c r="A19" s="418"/>
      <c r="B19" s="417"/>
      <c r="C19" s="415" t="s">
        <v>582</v>
      </c>
      <c r="D19" s="415"/>
      <c r="E19" s="415"/>
      <c r="F19" s="415"/>
      <c r="G19" s="420"/>
      <c r="J19" s="340"/>
    </row>
    <row r="20" spans="1:10" ht="15.6">
      <c r="A20" s="418">
        <v>7</v>
      </c>
      <c r="B20" s="417"/>
      <c r="C20" s="415" t="s">
        <v>583</v>
      </c>
      <c r="D20" s="415"/>
      <c r="E20" s="415"/>
      <c r="F20" s="415"/>
      <c r="G20" s="337">
        <v>26.443000000000001</v>
      </c>
      <c r="H20" s="341"/>
    </row>
    <row r="21" spans="1:10">
      <c r="A21" s="418">
        <v>8</v>
      </c>
      <c r="B21" s="417"/>
      <c r="C21" s="415" t="s">
        <v>584</v>
      </c>
      <c r="D21" s="415"/>
      <c r="E21" s="415"/>
      <c r="F21" s="415"/>
      <c r="G21" s="339">
        <f>G18*G20</f>
        <v>5546893.0204166751</v>
      </c>
    </row>
    <row r="22" spans="1:10">
      <c r="A22" s="418"/>
      <c r="B22" s="417"/>
      <c r="C22" s="415" t="s">
        <v>585</v>
      </c>
      <c r="D22" s="415"/>
      <c r="E22" s="415"/>
      <c r="F22" s="415"/>
      <c r="G22" s="415"/>
    </row>
    <row r="23" spans="1:10">
      <c r="A23" s="418"/>
      <c r="B23" s="417"/>
      <c r="C23" s="415"/>
      <c r="D23" s="415"/>
      <c r="E23" s="415"/>
      <c r="F23" s="415"/>
      <c r="G23" s="415"/>
    </row>
    <row r="24" spans="1:10">
      <c r="A24" s="418"/>
      <c r="B24" s="417" t="s">
        <v>586</v>
      </c>
      <c r="C24" s="415" t="s">
        <v>587</v>
      </c>
      <c r="D24" s="415"/>
      <c r="E24" s="415"/>
      <c r="F24" s="415"/>
      <c r="G24" s="415"/>
    </row>
    <row r="25" spans="1:10">
      <c r="A25" s="418"/>
      <c r="B25" s="417"/>
      <c r="C25" s="415"/>
      <c r="D25" s="415"/>
      <c r="E25" s="415"/>
      <c r="F25" s="415"/>
      <c r="G25" s="415"/>
    </row>
    <row r="26" spans="1:10">
      <c r="A26" s="418">
        <v>9</v>
      </c>
      <c r="B26" s="417"/>
      <c r="C26" s="415" t="s">
        <v>588</v>
      </c>
      <c r="D26" s="415"/>
      <c r="E26" s="415"/>
      <c r="F26" s="415"/>
      <c r="G26" s="339">
        <f>G11</f>
        <v>-2130160</v>
      </c>
    </row>
    <row r="27" spans="1:10">
      <c r="A27" s="418">
        <v>10</v>
      </c>
      <c r="B27" s="417"/>
      <c r="C27" s="415" t="s">
        <v>589</v>
      </c>
      <c r="D27" s="415"/>
      <c r="E27" s="415"/>
      <c r="F27" s="415"/>
      <c r="G27" s="338">
        <f>G21</f>
        <v>5546893.0204166751</v>
      </c>
    </row>
    <row r="28" spans="1:10">
      <c r="A28" s="418">
        <v>11</v>
      </c>
      <c r="B28" s="417"/>
      <c r="C28" s="415" t="s">
        <v>710</v>
      </c>
      <c r="D28" s="415"/>
      <c r="E28" s="415"/>
      <c r="F28" s="415"/>
      <c r="G28" s="339">
        <f>G26+G27</f>
        <v>3416733.0204166751</v>
      </c>
    </row>
    <row r="29" spans="1:10">
      <c r="A29" s="418"/>
      <c r="B29" s="417"/>
      <c r="C29" s="415" t="s">
        <v>590</v>
      </c>
      <c r="D29" s="415"/>
      <c r="E29" s="415"/>
      <c r="F29" s="415"/>
      <c r="G29" s="420"/>
    </row>
    <row r="30" spans="1:10">
      <c r="A30" s="418"/>
      <c r="B30" s="417"/>
      <c r="C30" s="415"/>
      <c r="D30" s="415"/>
      <c r="E30" s="415"/>
      <c r="F30" s="415"/>
      <c r="G30" s="415"/>
    </row>
    <row r="31" spans="1:10">
      <c r="A31" s="418"/>
      <c r="B31" s="417"/>
      <c r="C31" s="422" t="s">
        <v>591</v>
      </c>
      <c r="D31" s="415"/>
      <c r="E31" s="415"/>
      <c r="F31" s="415"/>
      <c r="G31" s="415"/>
    </row>
    <row r="32" spans="1:10">
      <c r="A32" s="418">
        <v>12</v>
      </c>
      <c r="B32" s="417"/>
      <c r="C32" s="415" t="s">
        <v>711</v>
      </c>
      <c r="D32" s="415"/>
      <c r="E32" s="415"/>
      <c r="F32" s="415"/>
      <c r="G32" s="423">
        <f>'[6]short term interest rate'!C25</f>
        <v>2.414714912280702E-4</v>
      </c>
    </row>
    <row r="33" spans="1:7">
      <c r="A33" s="418">
        <v>13</v>
      </c>
      <c r="B33" s="417"/>
      <c r="C33" s="415" t="s">
        <v>712</v>
      </c>
      <c r="D33" s="415"/>
      <c r="E33" s="415"/>
      <c r="F33" s="415"/>
      <c r="G33" s="338">
        <f>G28*G32*24</f>
        <v>19801.046821636872</v>
      </c>
    </row>
    <row r="34" spans="1:7">
      <c r="A34" s="418"/>
      <c r="B34" s="417"/>
      <c r="C34" s="415" t="s">
        <v>592</v>
      </c>
      <c r="D34" s="415"/>
      <c r="E34" s="415"/>
      <c r="F34" s="415"/>
      <c r="G34" s="424"/>
    </row>
    <row r="35" spans="1:7" ht="15" thickBot="1">
      <c r="A35" s="418">
        <v>14</v>
      </c>
      <c r="B35" s="417"/>
      <c r="C35" s="415" t="s">
        <v>593</v>
      </c>
      <c r="D35" s="415"/>
      <c r="E35" s="415"/>
      <c r="F35" s="415"/>
      <c r="G35" s="425">
        <f>G28+G33</f>
        <v>3436534.0672383122</v>
      </c>
    </row>
    <row r="36" spans="1:7" ht="15" thickTop="1">
      <c r="A36" s="415"/>
      <c r="B36" s="415"/>
      <c r="C36" s="415" t="s">
        <v>594</v>
      </c>
      <c r="D36" s="415"/>
      <c r="E36" s="415"/>
      <c r="F36" s="415"/>
      <c r="G36" s="415"/>
    </row>
    <row r="37" spans="1:7">
      <c r="A37" s="426"/>
      <c r="B37" s="426"/>
      <c r="C37" s="426"/>
      <c r="D37" s="426"/>
      <c r="E37" s="426"/>
      <c r="F37" s="426"/>
      <c r="G37" s="426"/>
    </row>
  </sheetData>
  <pageMargins left="0.7" right="0.2"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E24" sqref="E24"/>
    </sheetView>
  </sheetViews>
  <sheetFormatPr defaultRowHeight="15"/>
  <cols>
    <col min="1" max="1" width="6.81640625" customWidth="1"/>
    <col min="2" max="2" width="12.36328125" customWidth="1"/>
    <col min="3" max="3" width="4.81640625" customWidth="1"/>
    <col min="4" max="4" width="15.90625" bestFit="1" customWidth="1"/>
    <col min="5" max="5" width="15.90625" customWidth="1"/>
  </cols>
  <sheetData>
    <row r="1" spans="1:5" ht="15.6">
      <c r="A1" s="161" t="s">
        <v>280</v>
      </c>
    </row>
    <row r="2" spans="1:5" ht="15.6">
      <c r="A2" s="161" t="s">
        <v>716</v>
      </c>
    </row>
    <row r="3" spans="1:5" ht="15.6">
      <c r="A3" s="161" t="s">
        <v>693</v>
      </c>
    </row>
    <row r="5" spans="1:5">
      <c r="B5" s="170" t="s">
        <v>411</v>
      </c>
      <c r="C5" s="170"/>
      <c r="D5" s="170" t="s">
        <v>412</v>
      </c>
      <c r="E5" s="170" t="s">
        <v>417</v>
      </c>
    </row>
    <row r="7" spans="1:5" ht="15.6">
      <c r="A7" s="171" t="s">
        <v>4</v>
      </c>
      <c r="B7" s="173"/>
      <c r="C7" s="428"/>
      <c r="D7" s="428"/>
      <c r="E7" s="429"/>
    </row>
    <row r="8" spans="1:5" ht="15.6">
      <c r="A8" s="172" t="s">
        <v>6</v>
      </c>
      <c r="B8" s="176" t="s">
        <v>405</v>
      </c>
      <c r="C8" s="177"/>
      <c r="D8" s="177" t="s">
        <v>406</v>
      </c>
      <c r="E8" s="178" t="s">
        <v>38</v>
      </c>
    </row>
    <row r="9" spans="1:5">
      <c r="A9" s="179">
        <v>1</v>
      </c>
      <c r="B9" s="195">
        <v>42705</v>
      </c>
      <c r="C9" s="182"/>
      <c r="D9" s="183">
        <v>275773</v>
      </c>
      <c r="E9" s="184">
        <v>20.45</v>
      </c>
    </row>
    <row r="10" spans="1:5">
      <c r="A10" s="180">
        <v>2</v>
      </c>
      <c r="B10" s="196">
        <v>42736</v>
      </c>
      <c r="C10" s="135"/>
      <c r="D10" s="185">
        <v>276479</v>
      </c>
      <c r="E10" s="186">
        <v>20.45</v>
      </c>
    </row>
    <row r="11" spans="1:5">
      <c r="A11" s="180">
        <v>3</v>
      </c>
      <c r="B11" s="196">
        <v>42767</v>
      </c>
      <c r="C11" s="135"/>
      <c r="D11" s="185">
        <v>277184</v>
      </c>
      <c r="E11" s="186">
        <v>20.45</v>
      </c>
    </row>
    <row r="12" spans="1:5">
      <c r="A12" s="180">
        <v>4</v>
      </c>
      <c r="B12" s="196">
        <v>42795</v>
      </c>
      <c r="C12" s="135"/>
      <c r="D12" s="185">
        <v>277890</v>
      </c>
      <c r="E12" s="186">
        <v>20.45</v>
      </c>
    </row>
    <row r="13" spans="1:5">
      <c r="A13" s="180">
        <v>5</v>
      </c>
      <c r="B13" s="196">
        <v>42826</v>
      </c>
      <c r="C13" s="135"/>
      <c r="D13" s="185">
        <v>278565</v>
      </c>
      <c r="E13" s="186">
        <v>20.45</v>
      </c>
    </row>
    <row r="14" spans="1:5">
      <c r="A14" s="180">
        <v>6</v>
      </c>
      <c r="B14" s="196">
        <v>42856</v>
      </c>
      <c r="C14" s="135"/>
      <c r="D14" s="185">
        <v>279301</v>
      </c>
      <c r="E14" s="186">
        <v>20.45</v>
      </c>
    </row>
    <row r="15" spans="1:5">
      <c r="A15" s="180">
        <v>7</v>
      </c>
      <c r="B15" s="196">
        <v>42887</v>
      </c>
      <c r="C15" s="135"/>
      <c r="D15" s="185">
        <v>280006</v>
      </c>
      <c r="E15" s="186">
        <v>20.45</v>
      </c>
    </row>
    <row r="16" spans="1:5">
      <c r="A16" s="180">
        <v>8</v>
      </c>
      <c r="B16" s="196">
        <v>42917</v>
      </c>
      <c r="C16" s="135"/>
      <c r="D16" s="185">
        <v>280712</v>
      </c>
      <c r="E16" s="186">
        <v>20.45</v>
      </c>
    </row>
    <row r="17" spans="1:5">
      <c r="A17" s="180">
        <v>9</v>
      </c>
      <c r="B17" s="196">
        <v>42948</v>
      </c>
      <c r="C17" s="135"/>
      <c r="D17" s="185">
        <v>281417</v>
      </c>
      <c r="E17" s="186">
        <v>20.45</v>
      </c>
    </row>
    <row r="18" spans="1:5">
      <c r="A18" s="180">
        <v>10</v>
      </c>
      <c r="B18" s="196">
        <v>42979</v>
      </c>
      <c r="C18" s="135"/>
      <c r="D18" s="185">
        <v>282123</v>
      </c>
      <c r="E18" s="186">
        <v>20.45</v>
      </c>
    </row>
    <row r="19" spans="1:5">
      <c r="A19" s="180">
        <v>11</v>
      </c>
      <c r="B19" s="196">
        <v>43009</v>
      </c>
      <c r="C19" s="135"/>
      <c r="D19" s="185">
        <v>282828</v>
      </c>
      <c r="E19" s="186">
        <v>20.45</v>
      </c>
    </row>
    <row r="20" spans="1:5">
      <c r="A20" s="180">
        <v>12</v>
      </c>
      <c r="B20" s="196">
        <v>43040</v>
      </c>
      <c r="C20" s="135"/>
      <c r="D20" s="185">
        <v>283534</v>
      </c>
      <c r="E20" s="186">
        <v>20.45</v>
      </c>
    </row>
    <row r="21" spans="1:5">
      <c r="A21" s="180">
        <v>13</v>
      </c>
      <c r="B21" s="196">
        <v>43070</v>
      </c>
      <c r="C21" s="135"/>
      <c r="D21" s="185">
        <v>284239</v>
      </c>
      <c r="E21" s="186">
        <v>20.45</v>
      </c>
    </row>
    <row r="22" spans="1:5">
      <c r="A22" s="180">
        <v>14</v>
      </c>
      <c r="B22" s="132"/>
      <c r="C22" s="135"/>
      <c r="D22" s="135"/>
      <c r="E22" s="134"/>
    </row>
    <row r="23" spans="1:5" ht="15.6">
      <c r="A23" s="180">
        <v>15</v>
      </c>
      <c r="B23" s="132" t="s">
        <v>410</v>
      </c>
      <c r="C23" s="135"/>
      <c r="D23" s="227">
        <f>AVERAGE(D9:D21)</f>
        <v>280003.92307692306</v>
      </c>
      <c r="E23" s="228">
        <f>AVERAGE(E9:E21)</f>
        <v>20.449999999999996</v>
      </c>
    </row>
    <row r="24" spans="1:5">
      <c r="A24" s="181"/>
      <c r="B24" s="187"/>
      <c r="C24" s="162"/>
      <c r="D24" s="162"/>
      <c r="E24" s="188"/>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sqref="A1:C25"/>
    </sheetView>
  </sheetViews>
  <sheetFormatPr defaultRowHeight="15"/>
  <cols>
    <col min="2" max="2" width="9.90625" bestFit="1" customWidth="1"/>
    <col min="3" max="3" width="10.81640625" customWidth="1"/>
  </cols>
  <sheetData>
    <row r="1" spans="1:3">
      <c r="A1" s="342" t="s">
        <v>280</v>
      </c>
      <c r="B1" s="342"/>
      <c r="C1" s="342"/>
    </row>
    <row r="2" spans="1:3">
      <c r="A2" s="342" t="s">
        <v>713</v>
      </c>
      <c r="B2" s="342"/>
      <c r="C2" s="342"/>
    </row>
    <row r="3" spans="1:3">
      <c r="A3" s="342"/>
      <c r="B3" s="342"/>
      <c r="C3" s="342"/>
    </row>
    <row r="4" spans="1:3">
      <c r="A4" s="342"/>
      <c r="B4" s="342"/>
      <c r="C4" s="342"/>
    </row>
    <row r="5" spans="1:3">
      <c r="A5" s="342"/>
      <c r="B5" s="343">
        <v>42005</v>
      </c>
      <c r="C5" s="344">
        <f>0.0017125/12</f>
        <v>1.4270833333333334E-4</v>
      </c>
    </row>
    <row r="6" spans="1:3">
      <c r="A6" s="342"/>
      <c r="B6" s="343">
        <v>42036</v>
      </c>
      <c r="C6" s="344">
        <f>0.00173/12</f>
        <v>1.4416666666666666E-4</v>
      </c>
    </row>
    <row r="7" spans="1:3">
      <c r="A7" s="342"/>
      <c r="B7" s="343">
        <v>42064</v>
      </c>
      <c r="C7" s="344">
        <f>0.0017625/12</f>
        <v>1.4687500000000001E-4</v>
      </c>
    </row>
    <row r="8" spans="1:3">
      <c r="A8" s="342"/>
      <c r="B8" s="343">
        <v>42095</v>
      </c>
      <c r="C8" s="344">
        <f>0.00181/12</f>
        <v>1.5083333333333333E-4</v>
      </c>
    </row>
    <row r="9" spans="1:3">
      <c r="A9" s="342"/>
      <c r="B9" s="343">
        <v>42125</v>
      </c>
      <c r="C9" s="344">
        <f>0.00184/12</f>
        <v>1.5333333333333334E-4</v>
      </c>
    </row>
    <row r="10" spans="1:3">
      <c r="A10" s="342"/>
      <c r="B10" s="343">
        <v>42156</v>
      </c>
      <c r="C10" s="344">
        <f>0.001865/12</f>
        <v>1.5541666666666666E-4</v>
      </c>
    </row>
    <row r="11" spans="1:3">
      <c r="A11" s="342"/>
      <c r="B11" s="343">
        <v>42186</v>
      </c>
      <c r="C11" s="344">
        <f>0.0019175/12</f>
        <v>1.5979166666666667E-4</v>
      </c>
    </row>
    <row r="12" spans="1:3">
      <c r="A12" s="342"/>
      <c r="B12" s="343">
        <v>42217</v>
      </c>
      <c r="C12" s="344">
        <f>0.0019855/12</f>
        <v>1.6545833333333332E-4</v>
      </c>
    </row>
    <row r="13" spans="1:3">
      <c r="A13" s="342"/>
      <c r="B13" s="343">
        <v>42248</v>
      </c>
      <c r="C13" s="344">
        <f>0.00193/12</f>
        <v>1.6083333333333333E-4</v>
      </c>
    </row>
    <row r="14" spans="1:3">
      <c r="A14" s="342"/>
      <c r="B14" s="343">
        <v>42278</v>
      </c>
      <c r="C14" s="344">
        <f>0.00192/12</f>
        <v>1.6000000000000001E-4</v>
      </c>
    </row>
    <row r="15" spans="1:3">
      <c r="A15" s="342"/>
      <c r="B15" s="343">
        <v>42309</v>
      </c>
      <c r="C15" s="344">
        <f>0.00243/12</f>
        <v>2.0249999999999999E-4</v>
      </c>
    </row>
    <row r="16" spans="1:3">
      <c r="A16" s="342"/>
      <c r="B16" s="343">
        <v>42339</v>
      </c>
      <c r="C16" s="344">
        <f>0.004295/12</f>
        <v>3.579166666666667E-4</v>
      </c>
    </row>
    <row r="17" spans="1:3">
      <c r="A17" s="342"/>
      <c r="B17" s="343">
        <v>42370</v>
      </c>
      <c r="C17" s="344">
        <f>0.00425/12</f>
        <v>3.5416666666666669E-4</v>
      </c>
    </row>
    <row r="18" spans="1:3">
      <c r="A18" s="342"/>
      <c r="B18" s="343">
        <v>42401</v>
      </c>
      <c r="C18" s="344">
        <f>0.004405/12</f>
        <v>3.6708333333333336E-4</v>
      </c>
    </row>
    <row r="19" spans="1:3">
      <c r="A19" s="342"/>
      <c r="B19" s="343">
        <v>42430</v>
      </c>
      <c r="C19" s="344">
        <f>0.0043725/12</f>
        <v>3.6437499999999995E-4</v>
      </c>
    </row>
    <row r="20" spans="1:3">
      <c r="A20" s="342"/>
      <c r="B20" s="343">
        <v>42461</v>
      </c>
      <c r="C20" s="344">
        <f>0.0043575/12</f>
        <v>3.63125E-4</v>
      </c>
    </row>
    <row r="21" spans="1:3">
      <c r="A21" s="342"/>
      <c r="B21" s="343">
        <v>42491</v>
      </c>
      <c r="C21" s="344">
        <f>0.0042575/12</f>
        <v>3.5479166666666667E-4</v>
      </c>
    </row>
    <row r="22" spans="1:3">
      <c r="A22" s="342"/>
      <c r="B22" s="343">
        <v>42522</v>
      </c>
      <c r="C22" s="344">
        <f>0.0041575/12</f>
        <v>3.4645833333333333E-4</v>
      </c>
    </row>
    <row r="23" spans="1:3">
      <c r="A23" s="342"/>
      <c r="B23" s="343">
        <v>42552</v>
      </c>
      <c r="C23" s="344">
        <f>0.0040575/12</f>
        <v>3.3812500000000005E-4</v>
      </c>
    </row>
    <row r="24" spans="1:3">
      <c r="A24" s="342"/>
      <c r="B24" s="345"/>
      <c r="C24" s="342"/>
    </row>
    <row r="25" spans="1:3">
      <c r="A25" s="342"/>
      <c r="B25" s="345" t="s">
        <v>595</v>
      </c>
      <c r="C25" s="344">
        <f>AVERAGE(C5:C23)</f>
        <v>2.414714912280702E-4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workbookViewId="0">
      <selection activeCell="F22" sqref="F22"/>
    </sheetView>
  </sheetViews>
  <sheetFormatPr defaultRowHeight="15"/>
  <cols>
    <col min="1" max="1" width="6.81640625" customWidth="1"/>
    <col min="2" max="2" width="12.36328125" customWidth="1"/>
    <col min="3" max="3" width="4.81640625" customWidth="1"/>
    <col min="4" max="4" width="15.90625" bestFit="1" customWidth="1"/>
    <col min="5" max="7" width="15.90625" customWidth="1"/>
    <col min="8" max="8" width="16.90625" bestFit="1" customWidth="1"/>
  </cols>
  <sheetData>
    <row r="1" spans="1:8" ht="15.6">
      <c r="A1" s="161" t="s">
        <v>280</v>
      </c>
    </row>
    <row r="2" spans="1:8" ht="15.6">
      <c r="A2" s="161" t="s">
        <v>416</v>
      </c>
    </row>
    <row r="3" spans="1:8" ht="15.6">
      <c r="A3" s="161" t="s">
        <v>693</v>
      </c>
    </row>
    <row r="5" spans="1:8">
      <c r="B5" s="170" t="s">
        <v>411</v>
      </c>
      <c r="C5" s="170"/>
      <c r="D5" s="170" t="s">
        <v>412</v>
      </c>
      <c r="E5" s="170" t="s">
        <v>417</v>
      </c>
      <c r="F5" s="170" t="s">
        <v>413</v>
      </c>
      <c r="G5" s="170" t="s">
        <v>414</v>
      </c>
      <c r="H5" s="170" t="s">
        <v>415</v>
      </c>
    </row>
    <row r="7" spans="1:8" ht="15.6">
      <c r="A7" s="171" t="s">
        <v>4</v>
      </c>
      <c r="B7" s="173"/>
      <c r="C7" s="174"/>
      <c r="D7" s="174"/>
      <c r="E7" s="174"/>
      <c r="F7" s="174"/>
      <c r="G7" s="174" t="s">
        <v>408</v>
      </c>
      <c r="H7" s="175"/>
    </row>
    <row r="8" spans="1:8" ht="15.6">
      <c r="A8" s="172" t="s">
        <v>6</v>
      </c>
      <c r="B8" s="176" t="s">
        <v>405</v>
      </c>
      <c r="C8" s="177"/>
      <c r="D8" s="177" t="s">
        <v>406</v>
      </c>
      <c r="E8" s="177" t="s">
        <v>38</v>
      </c>
      <c r="F8" s="177" t="s">
        <v>407</v>
      </c>
      <c r="G8" s="177" t="s">
        <v>409</v>
      </c>
      <c r="H8" s="178" t="s">
        <v>9</v>
      </c>
    </row>
    <row r="9" spans="1:8">
      <c r="A9" s="179">
        <v>1</v>
      </c>
      <c r="B9" s="195">
        <v>42705</v>
      </c>
      <c r="C9" s="182"/>
      <c r="D9" s="183">
        <v>3344432790</v>
      </c>
      <c r="E9" s="183">
        <v>470296314</v>
      </c>
      <c r="F9" s="183">
        <v>1387316493</v>
      </c>
      <c r="G9" s="185">
        <v>301724692</v>
      </c>
      <c r="H9" s="184">
        <f>SUM(D9:G9)</f>
        <v>5503770289</v>
      </c>
    </row>
    <row r="10" spans="1:8">
      <c r="A10" s="180">
        <v>2</v>
      </c>
      <c r="B10" s="196">
        <v>42736</v>
      </c>
      <c r="C10" s="135"/>
      <c r="D10" s="185">
        <v>3367363947</v>
      </c>
      <c r="E10" s="185">
        <v>473203207</v>
      </c>
      <c r="F10" s="185">
        <v>1394585127</v>
      </c>
      <c r="G10" s="185">
        <v>301724692</v>
      </c>
      <c r="H10" s="186">
        <f t="shared" ref="H10:H21" si="0">SUM(D10:G10)</f>
        <v>5536876973</v>
      </c>
    </row>
    <row r="11" spans="1:8">
      <c r="A11" s="180">
        <v>3</v>
      </c>
      <c r="B11" s="196">
        <v>42767</v>
      </c>
      <c r="C11" s="135"/>
      <c r="D11" s="185">
        <v>3390816947</v>
      </c>
      <c r="E11" s="185">
        <v>476118636</v>
      </c>
      <c r="F11" s="185">
        <v>1402120738</v>
      </c>
      <c r="G11" s="185">
        <v>301724692</v>
      </c>
      <c r="H11" s="186">
        <f t="shared" si="0"/>
        <v>5570781013</v>
      </c>
    </row>
    <row r="12" spans="1:8">
      <c r="A12" s="180">
        <v>4</v>
      </c>
      <c r="B12" s="196">
        <v>42795</v>
      </c>
      <c r="C12" s="135"/>
      <c r="D12" s="185">
        <v>3413770249</v>
      </c>
      <c r="E12" s="185">
        <v>479038022</v>
      </c>
      <c r="F12" s="185">
        <v>1409435006</v>
      </c>
      <c r="G12" s="185">
        <v>301724692</v>
      </c>
      <c r="H12" s="186">
        <f t="shared" si="0"/>
        <v>5603967969</v>
      </c>
    </row>
    <row r="13" spans="1:8">
      <c r="A13" s="180">
        <v>5</v>
      </c>
      <c r="B13" s="196">
        <v>42826</v>
      </c>
      <c r="C13" s="135"/>
      <c r="D13" s="185">
        <v>3435246745</v>
      </c>
      <c r="E13" s="185">
        <v>481974852</v>
      </c>
      <c r="F13" s="185">
        <v>1416784573</v>
      </c>
      <c r="G13" s="185">
        <v>301724692</v>
      </c>
      <c r="H13" s="186">
        <f t="shared" si="0"/>
        <v>5635730862</v>
      </c>
    </row>
    <row r="14" spans="1:8">
      <c r="A14" s="180">
        <v>6</v>
      </c>
      <c r="B14" s="196">
        <v>42856</v>
      </c>
      <c r="C14" s="135"/>
      <c r="D14" s="185">
        <v>3456166241</v>
      </c>
      <c r="E14" s="185">
        <v>485042177</v>
      </c>
      <c r="F14" s="185">
        <v>1424212326</v>
      </c>
      <c r="G14" s="185">
        <v>301724692</v>
      </c>
      <c r="H14" s="186">
        <f t="shared" si="0"/>
        <v>5667145436</v>
      </c>
    </row>
    <row r="15" spans="1:8">
      <c r="A15" s="180">
        <v>7</v>
      </c>
      <c r="B15" s="196">
        <v>42887</v>
      </c>
      <c r="C15" s="135"/>
      <c r="D15" s="185">
        <v>3475168469</v>
      </c>
      <c r="E15" s="185">
        <v>488123053</v>
      </c>
      <c r="F15" s="185">
        <v>1431431105</v>
      </c>
      <c r="G15" s="185">
        <v>301724692</v>
      </c>
      <c r="H15" s="186">
        <f t="shared" si="0"/>
        <v>5696447319</v>
      </c>
    </row>
    <row r="16" spans="1:8">
      <c r="A16" s="180">
        <v>8</v>
      </c>
      <c r="B16" s="196">
        <v>42917</v>
      </c>
      <c r="C16" s="135"/>
      <c r="D16" s="185">
        <v>3485136025</v>
      </c>
      <c r="E16" s="185">
        <v>491229158</v>
      </c>
      <c r="F16" s="185">
        <v>1438915202</v>
      </c>
      <c r="G16" s="185">
        <v>301724692</v>
      </c>
      <c r="H16" s="186">
        <f t="shared" si="0"/>
        <v>5717005077</v>
      </c>
    </row>
    <row r="17" spans="1:8">
      <c r="A17" s="180">
        <v>9</v>
      </c>
      <c r="B17" s="196">
        <v>42948</v>
      </c>
      <c r="C17" s="135"/>
      <c r="D17" s="185">
        <v>3502686175</v>
      </c>
      <c r="E17" s="185">
        <v>494304277</v>
      </c>
      <c r="F17" s="185">
        <v>1446679998</v>
      </c>
      <c r="G17" s="185">
        <v>301724692</v>
      </c>
      <c r="H17" s="186">
        <f t="shared" si="0"/>
        <v>5745395142</v>
      </c>
    </row>
    <row r="18" spans="1:8">
      <c r="A18" s="180">
        <v>10</v>
      </c>
      <c r="B18" s="196">
        <v>42979</v>
      </c>
      <c r="C18" s="135"/>
      <c r="D18" s="185">
        <v>3522031175</v>
      </c>
      <c r="E18" s="185">
        <v>497339961</v>
      </c>
      <c r="F18" s="185">
        <v>1458849699</v>
      </c>
      <c r="G18" s="185">
        <v>301724692</v>
      </c>
      <c r="H18" s="186">
        <f t="shared" si="0"/>
        <v>5779945527</v>
      </c>
    </row>
    <row r="19" spans="1:8">
      <c r="A19" s="180">
        <v>11</v>
      </c>
      <c r="B19" s="196">
        <v>43009</v>
      </c>
      <c r="C19" s="135"/>
      <c r="D19" s="185">
        <v>3541925249</v>
      </c>
      <c r="E19" s="185">
        <v>500335022</v>
      </c>
      <c r="F19" s="185">
        <v>1466485938</v>
      </c>
      <c r="G19" s="185">
        <v>301724692</v>
      </c>
      <c r="H19" s="186">
        <f t="shared" si="0"/>
        <v>5810470901</v>
      </c>
    </row>
    <row r="20" spans="1:8">
      <c r="A20" s="180">
        <v>12</v>
      </c>
      <c r="B20" s="196">
        <v>43040</v>
      </c>
      <c r="C20" s="135"/>
      <c r="D20" s="185">
        <v>3562660606</v>
      </c>
      <c r="E20" s="185">
        <v>502255781</v>
      </c>
      <c r="F20" s="185">
        <v>1474263071</v>
      </c>
      <c r="G20" s="185">
        <v>301724692</v>
      </c>
      <c r="H20" s="186">
        <f t="shared" si="0"/>
        <v>5840904150</v>
      </c>
    </row>
    <row r="21" spans="1:8">
      <c r="A21" s="180">
        <v>13</v>
      </c>
      <c r="B21" s="196">
        <v>43070</v>
      </c>
      <c r="C21" s="135"/>
      <c r="D21" s="185">
        <v>3580112750</v>
      </c>
      <c r="E21" s="185">
        <v>502308859</v>
      </c>
      <c r="F21" s="185">
        <v>1470879063</v>
      </c>
      <c r="G21" s="185">
        <v>301724692</v>
      </c>
      <c r="H21" s="186">
        <f t="shared" si="0"/>
        <v>5855025364</v>
      </c>
    </row>
    <row r="22" spans="1:8">
      <c r="A22" s="180">
        <v>14</v>
      </c>
      <c r="B22" s="132"/>
      <c r="C22" s="135"/>
      <c r="D22" s="135"/>
      <c r="E22" s="135"/>
      <c r="F22" s="135"/>
      <c r="G22" s="135"/>
      <c r="H22" s="186"/>
    </row>
    <row r="23" spans="1:8" ht="15.6">
      <c r="A23" s="180">
        <v>15</v>
      </c>
      <c r="B23" s="132" t="s">
        <v>410</v>
      </c>
      <c r="C23" s="135"/>
      <c r="D23" s="227">
        <f>AVERAGE(D9:D21)</f>
        <v>3467501336</v>
      </c>
      <c r="E23" s="227">
        <f>AVERAGE(E9:E21)</f>
        <v>487813024.53846157</v>
      </c>
      <c r="F23" s="227">
        <f>AVERAGE(F9:F21)</f>
        <v>1432458333.7692308</v>
      </c>
      <c r="G23" s="227">
        <f t="shared" ref="G23:H23" si="1">AVERAGE(G9:G21)</f>
        <v>301724692</v>
      </c>
      <c r="H23" s="228">
        <f t="shared" si="1"/>
        <v>5689497386.3076925</v>
      </c>
    </row>
    <row r="24" spans="1:8">
      <c r="A24" s="181"/>
      <c r="B24" s="187"/>
      <c r="C24" s="162"/>
      <c r="D24" s="162"/>
      <c r="E24" s="162"/>
      <c r="F24" s="162"/>
      <c r="G24" s="162"/>
      <c r="H24" s="188"/>
    </row>
  </sheetData>
  <pageMargins left="0.7" right="0.7" top="0.75" bottom="0.75" header="0.3" footer="0.3"/>
  <pageSetup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E24" sqref="E24"/>
    </sheetView>
  </sheetViews>
  <sheetFormatPr defaultRowHeight="15"/>
  <cols>
    <col min="1" max="1" width="6.81640625" customWidth="1"/>
    <col min="2" max="2" width="12.36328125" customWidth="1"/>
    <col min="3" max="3" width="4.81640625" customWidth="1"/>
    <col min="4" max="4" width="15.90625" bestFit="1" customWidth="1"/>
    <col min="5" max="5" width="15.90625" customWidth="1"/>
  </cols>
  <sheetData>
    <row r="1" spans="1:5" ht="15.6">
      <c r="A1" s="161" t="s">
        <v>280</v>
      </c>
    </row>
    <row r="2" spans="1:5" ht="15.6">
      <c r="A2" s="161" t="s">
        <v>717</v>
      </c>
    </row>
    <row r="3" spans="1:5" ht="15.6">
      <c r="A3" s="161" t="s">
        <v>693</v>
      </c>
    </row>
    <row r="5" spans="1:5">
      <c r="B5" s="170" t="s">
        <v>411</v>
      </c>
      <c r="C5" s="170"/>
      <c r="D5" s="170" t="s">
        <v>412</v>
      </c>
      <c r="E5" s="170" t="s">
        <v>417</v>
      </c>
    </row>
    <row r="7" spans="1:5" ht="15.6">
      <c r="A7" s="171" t="s">
        <v>4</v>
      </c>
      <c r="B7" s="173"/>
      <c r="C7" s="428"/>
      <c r="D7" s="428"/>
      <c r="E7" s="429"/>
    </row>
    <row r="8" spans="1:5" ht="15.6">
      <c r="A8" s="172" t="s">
        <v>6</v>
      </c>
      <c r="B8" s="176" t="s">
        <v>405</v>
      </c>
      <c r="C8" s="177"/>
      <c r="D8" s="177" t="s">
        <v>406</v>
      </c>
      <c r="E8" s="178" t="s">
        <v>38</v>
      </c>
    </row>
    <row r="9" spans="1:5">
      <c r="A9" s="179">
        <v>1</v>
      </c>
      <c r="B9" s="195">
        <v>42705</v>
      </c>
      <c r="C9" s="182"/>
      <c r="D9" s="183">
        <v>148400</v>
      </c>
      <c r="E9" s="184">
        <v>12</v>
      </c>
    </row>
    <row r="10" spans="1:5">
      <c r="A10" s="180">
        <v>2</v>
      </c>
      <c r="B10" s="196">
        <v>42736</v>
      </c>
      <c r="C10" s="135"/>
      <c r="D10" s="185">
        <v>149811</v>
      </c>
      <c r="E10" s="186">
        <v>12</v>
      </c>
    </row>
    <row r="11" spans="1:5">
      <c r="A11" s="180">
        <v>3</v>
      </c>
      <c r="B11" s="196">
        <v>42767</v>
      </c>
      <c r="C11" s="135"/>
      <c r="D11" s="185">
        <v>151222</v>
      </c>
      <c r="E11" s="186">
        <v>12</v>
      </c>
    </row>
    <row r="12" spans="1:5">
      <c r="A12" s="180">
        <v>4</v>
      </c>
      <c r="B12" s="196">
        <v>42795</v>
      </c>
      <c r="C12" s="135"/>
      <c r="D12" s="185">
        <v>152633</v>
      </c>
      <c r="E12" s="186">
        <v>12</v>
      </c>
    </row>
    <row r="13" spans="1:5">
      <c r="A13" s="180">
        <v>5</v>
      </c>
      <c r="B13" s="196">
        <v>42826</v>
      </c>
      <c r="C13" s="135"/>
      <c r="D13" s="185">
        <v>154043</v>
      </c>
      <c r="E13" s="186">
        <v>12</v>
      </c>
    </row>
    <row r="14" spans="1:5">
      <c r="A14" s="180">
        <v>6</v>
      </c>
      <c r="B14" s="196">
        <v>42856</v>
      </c>
      <c r="C14" s="135"/>
      <c r="D14" s="185">
        <v>155454</v>
      </c>
      <c r="E14" s="186">
        <v>12</v>
      </c>
    </row>
    <row r="15" spans="1:5">
      <c r="A15" s="180">
        <v>7</v>
      </c>
      <c r="B15" s="196">
        <v>42887</v>
      </c>
      <c r="C15" s="135"/>
      <c r="D15" s="185">
        <v>156865</v>
      </c>
      <c r="E15" s="186">
        <v>12</v>
      </c>
    </row>
    <row r="16" spans="1:5">
      <c r="A16" s="180">
        <v>8</v>
      </c>
      <c r="B16" s="196">
        <v>42917</v>
      </c>
      <c r="C16" s="135"/>
      <c r="D16" s="185">
        <v>158276</v>
      </c>
      <c r="E16" s="186">
        <v>12</v>
      </c>
    </row>
    <row r="17" spans="1:5">
      <c r="A17" s="180">
        <v>9</v>
      </c>
      <c r="B17" s="196">
        <v>42948</v>
      </c>
      <c r="C17" s="135"/>
      <c r="D17" s="185">
        <v>159687</v>
      </c>
      <c r="E17" s="186">
        <v>13</v>
      </c>
    </row>
    <row r="18" spans="1:5">
      <c r="A18" s="180">
        <v>10</v>
      </c>
      <c r="B18" s="196">
        <v>42979</v>
      </c>
      <c r="C18" s="135"/>
      <c r="D18" s="185">
        <v>161098</v>
      </c>
      <c r="E18" s="186">
        <v>13</v>
      </c>
    </row>
    <row r="19" spans="1:5">
      <c r="A19" s="180">
        <v>11</v>
      </c>
      <c r="B19" s="196">
        <v>43009</v>
      </c>
      <c r="C19" s="135"/>
      <c r="D19" s="185">
        <v>162509</v>
      </c>
      <c r="E19" s="186">
        <v>13</v>
      </c>
    </row>
    <row r="20" spans="1:5">
      <c r="A20" s="180">
        <v>12</v>
      </c>
      <c r="B20" s="196">
        <v>43040</v>
      </c>
      <c r="C20" s="135"/>
      <c r="D20" s="185">
        <v>163920</v>
      </c>
      <c r="E20" s="186">
        <v>13</v>
      </c>
    </row>
    <row r="21" spans="1:5">
      <c r="A21" s="180">
        <v>13</v>
      </c>
      <c r="B21" s="196">
        <v>43070</v>
      </c>
      <c r="C21" s="135"/>
      <c r="D21" s="185">
        <v>165331</v>
      </c>
      <c r="E21" s="186">
        <v>13</v>
      </c>
    </row>
    <row r="22" spans="1:5">
      <c r="A22" s="180">
        <v>14</v>
      </c>
      <c r="B22" s="132"/>
      <c r="C22" s="135"/>
      <c r="D22" s="135"/>
      <c r="E22" s="134"/>
    </row>
    <row r="23" spans="1:5" ht="15.6">
      <c r="A23" s="180">
        <v>15</v>
      </c>
      <c r="B23" s="132" t="s">
        <v>410</v>
      </c>
      <c r="C23" s="135"/>
      <c r="D23" s="227">
        <f>AVERAGE(D9:D21)</f>
        <v>156865.30769230769</v>
      </c>
      <c r="E23" s="228">
        <f>AVERAGE(E9:E21)</f>
        <v>12.384615384615385</v>
      </c>
    </row>
    <row r="24" spans="1:5">
      <c r="A24" s="181"/>
      <c r="B24" s="187"/>
      <c r="C24" s="162"/>
      <c r="D24" s="162"/>
      <c r="E24" s="18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activeCell="E8" sqref="E8"/>
    </sheetView>
  </sheetViews>
  <sheetFormatPr defaultRowHeight="15"/>
  <cols>
    <col min="1" max="1" width="6.81640625" customWidth="1"/>
    <col min="2" max="7" width="16.81640625" customWidth="1"/>
  </cols>
  <sheetData>
    <row r="1" spans="1:7" ht="15.6">
      <c r="A1" s="161" t="s">
        <v>280</v>
      </c>
    </row>
    <row r="2" spans="1:7" ht="15.6">
      <c r="A2" s="161" t="s">
        <v>465</v>
      </c>
    </row>
    <row r="3" spans="1:7" ht="15.6">
      <c r="A3" s="161" t="s">
        <v>693</v>
      </c>
    </row>
    <row r="5" spans="1:7">
      <c r="B5" s="170" t="s">
        <v>411</v>
      </c>
      <c r="C5" s="170" t="s">
        <v>412</v>
      </c>
      <c r="D5" s="170" t="s">
        <v>417</v>
      </c>
      <c r="E5" s="170" t="s">
        <v>413</v>
      </c>
      <c r="F5" s="170" t="s">
        <v>414</v>
      </c>
      <c r="G5" s="170" t="s">
        <v>415</v>
      </c>
    </row>
    <row r="7" spans="1:7" ht="15.6">
      <c r="A7" s="230" t="s">
        <v>4</v>
      </c>
      <c r="B7" s="198"/>
      <c r="C7" s="336" t="s">
        <v>597</v>
      </c>
      <c r="D7" s="336" t="s">
        <v>596</v>
      </c>
      <c r="E7" s="428" t="s">
        <v>722</v>
      </c>
      <c r="F7" s="353" t="s">
        <v>605</v>
      </c>
      <c r="G7" s="226"/>
    </row>
    <row r="8" spans="1:7" ht="15.6">
      <c r="A8" s="235" t="s">
        <v>6</v>
      </c>
      <c r="B8" s="200" t="s">
        <v>405</v>
      </c>
      <c r="C8" s="177" t="s">
        <v>607</v>
      </c>
      <c r="D8" s="177" t="s">
        <v>606</v>
      </c>
      <c r="E8" s="177" t="s">
        <v>718</v>
      </c>
      <c r="F8" s="177" t="s">
        <v>604</v>
      </c>
      <c r="G8" s="178" t="s">
        <v>9</v>
      </c>
    </row>
    <row r="9" spans="1:7">
      <c r="A9" s="191">
        <v>1</v>
      </c>
      <c r="B9" s="195">
        <v>42705</v>
      </c>
      <c r="C9" s="182">
        <v>0</v>
      </c>
      <c r="D9" s="182">
        <v>0</v>
      </c>
      <c r="E9" s="182">
        <v>0</v>
      </c>
      <c r="F9" s="182">
        <v>55035898</v>
      </c>
      <c r="G9" s="216">
        <f t="shared" ref="G9:G21" si="0">SUM(C9:F9)</f>
        <v>55035898</v>
      </c>
    </row>
    <row r="10" spans="1:7">
      <c r="A10" s="192">
        <v>2</v>
      </c>
      <c r="B10" s="196">
        <v>42736</v>
      </c>
      <c r="C10" s="135">
        <v>0</v>
      </c>
      <c r="D10" s="135">
        <v>0</v>
      </c>
      <c r="E10" s="135">
        <v>0</v>
      </c>
      <c r="F10" s="354">
        <v>57345736</v>
      </c>
      <c r="G10" s="134">
        <f t="shared" si="0"/>
        <v>57345736</v>
      </c>
    </row>
    <row r="11" spans="1:7">
      <c r="A11" s="192">
        <v>3</v>
      </c>
      <c r="B11" s="196">
        <v>42767</v>
      </c>
      <c r="C11" s="135">
        <v>0</v>
      </c>
      <c r="D11" s="135">
        <v>0</v>
      </c>
      <c r="E11" s="135">
        <v>0</v>
      </c>
      <c r="F11" s="354">
        <v>58704158</v>
      </c>
      <c r="G11" s="134">
        <f t="shared" si="0"/>
        <v>58704158</v>
      </c>
    </row>
    <row r="12" spans="1:7">
      <c r="A12" s="192">
        <v>4</v>
      </c>
      <c r="B12" s="196">
        <v>42795</v>
      </c>
      <c r="C12" s="135">
        <v>0</v>
      </c>
      <c r="D12" s="135">
        <v>0</v>
      </c>
      <c r="E12" s="135">
        <v>0</v>
      </c>
      <c r="F12" s="354">
        <v>59175289</v>
      </c>
      <c r="G12" s="134">
        <f t="shared" si="0"/>
        <v>59175289</v>
      </c>
    </row>
    <row r="13" spans="1:7">
      <c r="A13" s="192">
        <v>5</v>
      </c>
      <c r="B13" s="196">
        <v>42826</v>
      </c>
      <c r="C13" s="135">
        <v>0</v>
      </c>
      <c r="D13" s="135">
        <v>0</v>
      </c>
      <c r="E13" s="135">
        <v>0</v>
      </c>
      <c r="F13" s="354">
        <v>3212384</v>
      </c>
      <c r="G13" s="134">
        <f t="shared" si="0"/>
        <v>3212384</v>
      </c>
    </row>
    <row r="14" spans="1:7">
      <c r="A14" s="192">
        <v>6</v>
      </c>
      <c r="B14" s="196">
        <v>42856</v>
      </c>
      <c r="C14" s="135">
        <v>0</v>
      </c>
      <c r="D14" s="135">
        <v>0</v>
      </c>
      <c r="E14" s="135">
        <v>0</v>
      </c>
      <c r="F14" s="354">
        <v>3214775</v>
      </c>
      <c r="G14" s="134">
        <f t="shared" si="0"/>
        <v>3214775</v>
      </c>
    </row>
    <row r="15" spans="1:7">
      <c r="A15" s="192">
        <v>7</v>
      </c>
      <c r="B15" s="196">
        <v>42887</v>
      </c>
      <c r="C15" s="135">
        <v>0</v>
      </c>
      <c r="D15" s="135">
        <v>0</v>
      </c>
      <c r="E15" s="135">
        <v>3794789</v>
      </c>
      <c r="F15" s="354">
        <v>3217167</v>
      </c>
      <c r="G15" s="134">
        <f t="shared" si="0"/>
        <v>7011956</v>
      </c>
    </row>
    <row r="16" spans="1:7">
      <c r="A16" s="192">
        <v>8</v>
      </c>
      <c r="B16" s="196">
        <v>42917</v>
      </c>
      <c r="C16" s="135">
        <v>0</v>
      </c>
      <c r="D16" s="135">
        <v>0</v>
      </c>
      <c r="E16" s="135">
        <v>4536910</v>
      </c>
      <c r="F16" s="135">
        <v>3219550</v>
      </c>
      <c r="G16" s="134">
        <f t="shared" si="0"/>
        <v>7756460</v>
      </c>
    </row>
    <row r="17" spans="1:7">
      <c r="A17" s="192">
        <v>9</v>
      </c>
      <c r="B17" s="196">
        <v>42948</v>
      </c>
      <c r="C17" s="135">
        <v>0</v>
      </c>
      <c r="D17" s="135">
        <v>0</v>
      </c>
      <c r="E17" s="135">
        <v>5542975</v>
      </c>
      <c r="F17" s="135">
        <v>3221932</v>
      </c>
      <c r="G17" s="134">
        <f t="shared" si="0"/>
        <v>8764907</v>
      </c>
    </row>
    <row r="18" spans="1:7">
      <c r="A18" s="192">
        <v>10</v>
      </c>
      <c r="B18" s="196">
        <v>42979</v>
      </c>
      <c r="C18" s="135">
        <v>0</v>
      </c>
      <c r="D18" s="135">
        <v>0</v>
      </c>
      <c r="E18" s="354">
        <v>6976999</v>
      </c>
      <c r="F18" s="135">
        <v>3224316</v>
      </c>
      <c r="G18" s="134">
        <f t="shared" si="0"/>
        <v>10201315</v>
      </c>
    </row>
    <row r="19" spans="1:7">
      <c r="A19" s="192">
        <v>11</v>
      </c>
      <c r="B19" s="196">
        <v>43009</v>
      </c>
      <c r="C19" s="135">
        <v>0</v>
      </c>
      <c r="D19" s="135">
        <v>0</v>
      </c>
      <c r="E19" s="354">
        <v>9186119</v>
      </c>
      <c r="F19" s="135">
        <v>23917</v>
      </c>
      <c r="G19" s="134">
        <f t="shared" si="0"/>
        <v>9210036</v>
      </c>
    </row>
    <row r="20" spans="1:7">
      <c r="A20" s="192">
        <v>12</v>
      </c>
      <c r="B20" s="196">
        <v>43040</v>
      </c>
      <c r="C20" s="135">
        <v>0</v>
      </c>
      <c r="D20" s="135">
        <v>0</v>
      </c>
      <c r="E20" s="354">
        <v>11793809</v>
      </c>
      <c r="F20" s="135">
        <v>26300</v>
      </c>
      <c r="G20" s="134">
        <f t="shared" si="0"/>
        <v>11820109</v>
      </c>
    </row>
    <row r="21" spans="1:7">
      <c r="A21" s="192">
        <v>13</v>
      </c>
      <c r="B21" s="196">
        <v>43070</v>
      </c>
      <c r="C21" s="162">
        <v>0</v>
      </c>
      <c r="D21" s="162">
        <v>0</v>
      </c>
      <c r="E21" s="162">
        <v>22617212</v>
      </c>
      <c r="F21" s="162">
        <v>28664</v>
      </c>
      <c r="G21" s="188">
        <f t="shared" si="0"/>
        <v>22645876</v>
      </c>
    </row>
    <row r="22" spans="1:7">
      <c r="A22" s="192">
        <v>14</v>
      </c>
      <c r="B22" s="132"/>
      <c r="C22" s="135"/>
      <c r="D22" s="135"/>
      <c r="E22" s="135"/>
      <c r="F22" s="135"/>
      <c r="G22" s="134"/>
    </row>
    <row r="23" spans="1:7" ht="15.6">
      <c r="A23" s="192">
        <v>15</v>
      </c>
      <c r="B23" s="206" t="s">
        <v>410</v>
      </c>
      <c r="C23" s="135">
        <f>AVERAGE(C9:C21)</f>
        <v>0</v>
      </c>
      <c r="D23" s="135">
        <f>AVERAGE(D9:D21)</f>
        <v>0</v>
      </c>
      <c r="E23" s="135">
        <f>AVERAGE(E9:E21)</f>
        <v>4957601</v>
      </c>
      <c r="F23" s="135">
        <f t="shared" ref="F23" si="1">AVERAGE(F9:F21)</f>
        <v>19203852.769230768</v>
      </c>
      <c r="G23" s="211">
        <f>AVERAGE(G9:G21)</f>
        <v>24161453.769230768</v>
      </c>
    </row>
    <row r="24" spans="1:7">
      <c r="A24" s="181"/>
      <c r="B24" s="187"/>
      <c r="C24" s="162"/>
      <c r="D24" s="162"/>
      <c r="E24" s="162"/>
      <c r="F24" s="162"/>
      <c r="G24" s="188"/>
    </row>
    <row r="26" spans="1:7">
      <c r="A26" s="346"/>
    </row>
    <row r="27" spans="1:7">
      <c r="A27" s="346"/>
    </row>
  </sheetData>
  <pageMargins left="0.7" right="0.7" top="0.75" bottom="0.75" header="0.3" footer="0.3"/>
  <pageSetup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topLeftCell="A28" zoomScaleNormal="100" workbookViewId="0">
      <selection activeCell="G44" sqref="G44"/>
    </sheetView>
  </sheetViews>
  <sheetFormatPr defaultColWidth="8.90625" defaultRowHeight="14.4"/>
  <cols>
    <col min="1" max="1" width="8.90625" style="383"/>
    <col min="2" max="2" width="9.90625" style="383" customWidth="1"/>
    <col min="3" max="3" width="8.1796875" style="383" bestFit="1" customWidth="1"/>
    <col min="4" max="4" width="8.90625" style="383"/>
    <col min="5" max="5" width="13.90625" style="383" bestFit="1" customWidth="1"/>
    <col min="6" max="6" width="13.08984375" style="383" bestFit="1" customWidth="1"/>
    <col min="7" max="7" width="12.54296875" style="383" bestFit="1" customWidth="1"/>
    <col min="8" max="8" width="12.6328125" style="383" bestFit="1" customWidth="1"/>
    <col min="9" max="9" width="10.36328125" style="383" bestFit="1" customWidth="1"/>
    <col min="10" max="10" width="13.1796875" style="383" bestFit="1" customWidth="1"/>
    <col min="11" max="11" width="11" style="383" bestFit="1" customWidth="1"/>
    <col min="12" max="12" width="15.6328125" style="383" bestFit="1" customWidth="1"/>
    <col min="13" max="13" width="13.08984375" style="383" bestFit="1" customWidth="1"/>
    <col min="14" max="14" width="8.90625" style="383"/>
    <col min="15" max="16384" width="8.90625" style="385"/>
  </cols>
  <sheetData>
    <row r="1" spans="1:19" s="383" customFormat="1" ht="15.6">
      <c r="M1" s="384" t="s">
        <v>628</v>
      </c>
      <c r="O1" s="385"/>
      <c r="P1" s="385"/>
      <c r="Q1" s="385"/>
      <c r="R1" s="385"/>
      <c r="S1" s="385"/>
    </row>
    <row r="2" spans="1:19" s="383" customFormat="1" ht="15.6">
      <c r="M2" s="384" t="s">
        <v>687</v>
      </c>
      <c r="O2" s="385"/>
      <c r="P2" s="385"/>
      <c r="Q2" s="385"/>
      <c r="R2" s="385"/>
      <c r="S2" s="385"/>
    </row>
    <row r="3" spans="1:19" s="383" customFormat="1" ht="15.6">
      <c r="M3" s="384" t="s">
        <v>629</v>
      </c>
      <c r="O3" s="385"/>
      <c r="P3" s="385"/>
      <c r="Q3" s="385"/>
      <c r="R3" s="385"/>
      <c r="S3" s="385"/>
    </row>
    <row r="4" spans="1:19" s="383" customFormat="1">
      <c r="A4" s="460" t="s">
        <v>686</v>
      </c>
      <c r="B4" s="460"/>
      <c r="C4" s="460"/>
      <c r="D4" s="460"/>
      <c r="E4" s="460"/>
      <c r="F4" s="460"/>
      <c r="G4" s="460"/>
      <c r="H4" s="460"/>
      <c r="I4" s="460"/>
      <c r="J4" s="460"/>
      <c r="K4" s="460"/>
      <c r="L4" s="460"/>
      <c r="M4" s="460"/>
      <c r="O4" s="385"/>
      <c r="P4" s="385"/>
      <c r="Q4" s="385"/>
      <c r="R4" s="385"/>
      <c r="S4" s="385"/>
    </row>
    <row r="5" spans="1:19" s="383" customFormat="1">
      <c r="E5" s="386"/>
      <c r="F5" s="386"/>
      <c r="G5" s="386"/>
      <c r="H5" s="386"/>
      <c r="I5" s="386"/>
      <c r="J5" s="386"/>
      <c r="K5" s="386"/>
      <c r="L5" s="386"/>
      <c r="O5" s="385"/>
      <c r="P5" s="385"/>
      <c r="Q5" s="385"/>
      <c r="R5" s="385"/>
      <c r="S5" s="385"/>
    </row>
    <row r="6" spans="1:19" s="383" customFormat="1">
      <c r="E6" s="386"/>
      <c r="F6" s="386"/>
      <c r="G6" s="386"/>
      <c r="H6" s="386"/>
      <c r="I6" s="386"/>
      <c r="J6" s="386"/>
      <c r="K6" s="386"/>
      <c r="L6" s="386"/>
      <c r="O6" s="385"/>
      <c r="P6" s="385"/>
      <c r="Q6" s="385"/>
      <c r="R6" s="385"/>
      <c r="S6" s="385"/>
    </row>
    <row r="7" spans="1:19" s="383" customFormat="1">
      <c r="A7" s="387" t="s">
        <v>630</v>
      </c>
      <c r="E7" s="386"/>
      <c r="F7" s="386"/>
      <c r="G7" s="386"/>
      <c r="H7" s="386"/>
      <c r="I7" s="386"/>
      <c r="J7" s="386"/>
      <c r="K7" s="386"/>
      <c r="L7" s="386"/>
      <c r="O7" s="385"/>
      <c r="P7" s="385"/>
      <c r="Q7" s="385"/>
      <c r="R7" s="385"/>
      <c r="S7" s="385"/>
    </row>
    <row r="8" spans="1:19" s="383" customFormat="1">
      <c r="E8" s="386"/>
      <c r="F8" s="386"/>
      <c r="G8" s="386"/>
      <c r="H8" s="386"/>
      <c r="I8" s="386"/>
      <c r="J8" s="386"/>
      <c r="K8" s="386"/>
      <c r="L8" s="386"/>
      <c r="O8" s="385"/>
      <c r="P8" s="385"/>
      <c r="Q8" s="385"/>
      <c r="R8" s="385"/>
      <c r="S8" s="385"/>
    </row>
    <row r="9" spans="1:19" s="383" customFormat="1">
      <c r="B9" s="383" t="s">
        <v>631</v>
      </c>
      <c r="C9" s="383" t="s">
        <v>632</v>
      </c>
      <c r="D9" s="383" t="s">
        <v>633</v>
      </c>
      <c r="E9" s="386" t="s">
        <v>634</v>
      </c>
      <c r="F9" s="386" t="s">
        <v>635</v>
      </c>
      <c r="G9" s="386" t="s">
        <v>636</v>
      </c>
      <c r="H9" s="386" t="s">
        <v>637</v>
      </c>
      <c r="I9" s="386" t="s">
        <v>638</v>
      </c>
      <c r="J9" s="386" t="s">
        <v>639</v>
      </c>
      <c r="K9" s="386" t="s">
        <v>640</v>
      </c>
      <c r="L9" s="386" t="s">
        <v>641</v>
      </c>
      <c r="M9" s="386" t="s">
        <v>642</v>
      </c>
      <c r="O9" s="385"/>
      <c r="P9" s="385"/>
      <c r="Q9" s="385"/>
      <c r="R9" s="385"/>
      <c r="S9" s="385"/>
    </row>
    <row r="10" spans="1:19" s="383" customFormat="1">
      <c r="B10" s="386" t="s">
        <v>643</v>
      </c>
      <c r="E10" s="386" t="s">
        <v>644</v>
      </c>
      <c r="F10" s="386"/>
      <c r="G10" s="388">
        <v>1</v>
      </c>
      <c r="H10" s="386" t="s">
        <v>645</v>
      </c>
      <c r="I10" s="386" t="s">
        <v>646</v>
      </c>
      <c r="J10" s="386" t="s">
        <v>647</v>
      </c>
      <c r="K10" s="386" t="s">
        <v>648</v>
      </c>
      <c r="L10" s="386" t="s">
        <v>649</v>
      </c>
      <c r="M10" s="386" t="s">
        <v>650</v>
      </c>
      <c r="O10" s="385"/>
      <c r="P10" s="385"/>
      <c r="Q10" s="385"/>
      <c r="R10" s="385"/>
      <c r="S10" s="385"/>
    </row>
    <row r="11" spans="1:19" s="383" customFormat="1">
      <c r="B11" s="386" t="s">
        <v>651</v>
      </c>
      <c r="E11" s="386" t="s">
        <v>652</v>
      </c>
      <c r="F11" s="386" t="s">
        <v>7</v>
      </c>
      <c r="G11" s="386" t="s">
        <v>38</v>
      </c>
      <c r="H11" s="388" t="s">
        <v>653</v>
      </c>
      <c r="I11" s="386" t="s">
        <v>654</v>
      </c>
      <c r="J11" s="388" t="s">
        <v>655</v>
      </c>
      <c r="K11" s="386" t="s">
        <v>656</v>
      </c>
      <c r="L11" s="388" t="s">
        <v>657</v>
      </c>
      <c r="M11" s="386" t="s">
        <v>658</v>
      </c>
      <c r="O11" s="385"/>
      <c r="P11" s="385"/>
      <c r="Q11" s="385"/>
      <c r="R11" s="385"/>
      <c r="S11" s="385"/>
    </row>
    <row r="12" spans="1:19" s="383" customFormat="1">
      <c r="B12" s="386" t="s">
        <v>659</v>
      </c>
      <c r="E12" s="386"/>
      <c r="F12" s="386"/>
      <c r="G12" s="386"/>
      <c r="H12" s="389">
        <v>1</v>
      </c>
      <c r="I12" s="386"/>
      <c r="J12" s="431">
        <v>0.10514999999999999</v>
      </c>
      <c r="K12" s="386"/>
      <c r="L12" s="431">
        <v>6.0380000000000003E-2</v>
      </c>
      <c r="M12" s="386" t="s">
        <v>660</v>
      </c>
      <c r="O12" s="385"/>
      <c r="P12" s="385"/>
      <c r="Q12" s="385"/>
      <c r="R12" s="385"/>
      <c r="S12" s="385"/>
    </row>
    <row r="13" spans="1:19" s="383" customFormat="1">
      <c r="B13" s="386" t="s">
        <v>661</v>
      </c>
      <c r="E13" s="386"/>
      <c r="F13" s="386"/>
      <c r="G13" s="386"/>
      <c r="H13" s="390"/>
      <c r="I13" s="386"/>
      <c r="J13" s="386" t="s">
        <v>662</v>
      </c>
      <c r="K13" s="386"/>
      <c r="L13" s="386" t="s">
        <v>662</v>
      </c>
      <c r="M13" s="386"/>
      <c r="O13" s="385"/>
      <c r="P13" s="385"/>
      <c r="Q13" s="385"/>
      <c r="R13" s="385"/>
      <c r="S13" s="385"/>
    </row>
    <row r="14" spans="1:19">
      <c r="B14" s="391"/>
      <c r="C14" s="392" t="s">
        <v>663</v>
      </c>
      <c r="E14" s="386"/>
      <c r="F14" s="386"/>
      <c r="G14" s="386"/>
      <c r="H14" s="386"/>
      <c r="I14" s="386"/>
      <c r="J14" s="386" t="s">
        <v>664</v>
      </c>
      <c r="K14" s="386"/>
      <c r="L14" s="386" t="s">
        <v>665</v>
      </c>
      <c r="M14" s="386"/>
    </row>
    <row r="15" spans="1:19" ht="15.6">
      <c r="B15" s="383" t="s">
        <v>666</v>
      </c>
      <c r="C15" s="383" t="s">
        <v>667</v>
      </c>
      <c r="D15" s="430">
        <v>2016</v>
      </c>
      <c r="E15" s="394">
        <v>1</v>
      </c>
      <c r="F15" s="395">
        <v>-2678121799.75877</v>
      </c>
      <c r="G15" s="395">
        <v>-220541975.704752</v>
      </c>
      <c r="H15" s="396">
        <f t="shared" ref="H15:H27" si="0">+H$12*G15</f>
        <v>-220541975.704752</v>
      </c>
      <c r="I15" s="395">
        <v>0</v>
      </c>
      <c r="J15" s="396">
        <f t="shared" ref="J15:J27" si="1">+I15*J$12</f>
        <v>0</v>
      </c>
      <c r="K15" s="395">
        <v>-43873194.349809006</v>
      </c>
      <c r="L15" s="396">
        <f t="shared" ref="L15:L27" si="2">+K15*L$12</f>
        <v>-2649063.474841468</v>
      </c>
      <c r="M15" s="397">
        <f t="shared" ref="M15:M27" si="3">(L15+J15+H15)*E15</f>
        <v>-223191039.17959347</v>
      </c>
      <c r="N15" s="398"/>
      <c r="O15" s="399"/>
      <c r="P15" s="399"/>
      <c r="Q15" s="399"/>
      <c r="R15" s="399"/>
      <c r="S15" s="399"/>
    </row>
    <row r="16" spans="1:19" ht="15.6">
      <c r="B16" s="383" t="s">
        <v>668</v>
      </c>
      <c r="C16" s="383" t="s">
        <v>669</v>
      </c>
      <c r="D16" s="430">
        <v>2017</v>
      </c>
      <c r="E16" s="394">
        <v>0.9178082191780822</v>
      </c>
      <c r="F16" s="395">
        <v>-4399102.3427699693</v>
      </c>
      <c r="G16" s="395">
        <v>-468656.21843800182</v>
      </c>
      <c r="H16" s="396">
        <f t="shared" si="0"/>
        <v>-468656.21843800182</v>
      </c>
      <c r="I16" s="395">
        <v>0</v>
      </c>
      <c r="J16" s="396">
        <f t="shared" si="1"/>
        <v>0</v>
      </c>
      <c r="K16" s="400">
        <v>-120148.44465625356</v>
      </c>
      <c r="L16" s="396">
        <f t="shared" si="2"/>
        <v>-7254.5630883445901</v>
      </c>
      <c r="M16" s="397">
        <f t="shared" si="3"/>
        <v>-436794.82688034535</v>
      </c>
      <c r="N16" s="401"/>
      <c r="O16" s="402"/>
      <c r="P16" s="399"/>
      <c r="Q16" s="399"/>
      <c r="R16" s="399"/>
      <c r="S16" s="402"/>
    </row>
    <row r="17" spans="2:19" ht="15.6">
      <c r="B17" s="383" t="s">
        <v>668</v>
      </c>
      <c r="C17" s="403" t="s">
        <v>670</v>
      </c>
      <c r="D17" s="430">
        <v>2017</v>
      </c>
      <c r="E17" s="394">
        <v>0.84109589041095889</v>
      </c>
      <c r="F17" s="395">
        <v>-6285485.983510036</v>
      </c>
      <c r="G17" s="395">
        <v>-487500.32135500805</v>
      </c>
      <c r="H17" s="396">
        <f t="shared" si="0"/>
        <v>-487500.32135500805</v>
      </c>
      <c r="I17" s="395">
        <v>0</v>
      </c>
      <c r="J17" s="396">
        <f t="shared" si="1"/>
        <v>0</v>
      </c>
      <c r="K17" s="400">
        <v>-103081.97012956953</v>
      </c>
      <c r="L17" s="396">
        <f t="shared" si="2"/>
        <v>-6224.0893564234084</v>
      </c>
      <c r="M17" s="397">
        <f t="shared" si="3"/>
        <v>-415269.57284495741</v>
      </c>
      <c r="N17" s="401"/>
      <c r="O17" s="402"/>
      <c r="P17" s="399"/>
      <c r="Q17" s="399"/>
      <c r="R17" s="399"/>
      <c r="S17" s="402"/>
    </row>
    <row r="18" spans="2:19" ht="15.6">
      <c r="B18" s="383" t="s">
        <v>668</v>
      </c>
      <c r="C18" s="403" t="s">
        <v>671</v>
      </c>
      <c r="D18" s="430">
        <v>2017</v>
      </c>
      <c r="E18" s="394">
        <v>0.75616438356164384</v>
      </c>
      <c r="F18" s="395">
        <v>-7389015.4553097673</v>
      </c>
      <c r="G18" s="395">
        <v>-926280.85020600702</v>
      </c>
      <c r="H18" s="396">
        <f t="shared" si="0"/>
        <v>-926280.85020600702</v>
      </c>
      <c r="I18" s="395">
        <v>0</v>
      </c>
      <c r="J18" s="396">
        <f t="shared" si="1"/>
        <v>0</v>
      </c>
      <c r="K18" s="400">
        <v>-121179.85346707428</v>
      </c>
      <c r="L18" s="396">
        <f t="shared" si="2"/>
        <v>-7316.8395523419458</v>
      </c>
      <c r="M18" s="397">
        <f t="shared" si="3"/>
        <v>-705953.32157069677</v>
      </c>
      <c r="N18" s="401"/>
      <c r="O18" s="402"/>
      <c r="P18" s="399"/>
      <c r="Q18" s="399"/>
      <c r="R18" s="399"/>
      <c r="S18" s="402"/>
    </row>
    <row r="19" spans="2:19" ht="15.6">
      <c r="B19" s="383" t="s">
        <v>668</v>
      </c>
      <c r="C19" s="403" t="s">
        <v>672</v>
      </c>
      <c r="D19" s="430">
        <v>2017</v>
      </c>
      <c r="E19" s="394">
        <v>0.67397260273972603</v>
      </c>
      <c r="F19" s="395">
        <v>-12297745.451929979</v>
      </c>
      <c r="G19" s="395">
        <v>-4650473.5070119789</v>
      </c>
      <c r="H19" s="396">
        <f t="shared" si="0"/>
        <v>-4650473.5070119789</v>
      </c>
      <c r="I19" s="395">
        <v>0</v>
      </c>
      <c r="J19" s="396">
        <f t="shared" si="1"/>
        <v>0</v>
      </c>
      <c r="K19" s="400">
        <v>-201683.02541165758</v>
      </c>
      <c r="L19" s="396">
        <f t="shared" si="2"/>
        <v>-12177.621074355886</v>
      </c>
      <c r="M19" s="397">
        <f t="shared" si="3"/>
        <v>-3142499.1164636668</v>
      </c>
      <c r="N19" s="401"/>
      <c r="O19" s="402"/>
      <c r="P19" s="399"/>
      <c r="Q19" s="399"/>
      <c r="R19" s="399"/>
      <c r="S19" s="402"/>
    </row>
    <row r="20" spans="2:19" ht="15.6">
      <c r="B20" s="383" t="s">
        <v>668</v>
      </c>
      <c r="C20" s="403" t="s">
        <v>673</v>
      </c>
      <c r="D20" s="430">
        <v>2017</v>
      </c>
      <c r="E20" s="394">
        <v>0.58904109589041098</v>
      </c>
      <c r="F20" s="395">
        <v>-9651804.2575600557</v>
      </c>
      <c r="G20" s="395">
        <v>-2219788.2585810148</v>
      </c>
      <c r="H20" s="396">
        <f t="shared" si="0"/>
        <v>-2219788.2585810148</v>
      </c>
      <c r="I20" s="395">
        <v>0</v>
      </c>
      <c r="J20" s="396">
        <f t="shared" si="1"/>
        <v>0</v>
      </c>
      <c r="K20" s="400">
        <v>-158289.58982398035</v>
      </c>
      <c r="L20" s="396">
        <f t="shared" si="2"/>
        <v>-9557.5254335719346</v>
      </c>
      <c r="M20" s="397">
        <f t="shared" si="3"/>
        <v>-1313176.2837346196</v>
      </c>
      <c r="N20" s="401"/>
      <c r="O20" s="402"/>
      <c r="P20" s="399"/>
      <c r="Q20" s="399"/>
      <c r="R20" s="399"/>
      <c r="S20" s="402"/>
    </row>
    <row r="21" spans="2:19" ht="15.6">
      <c r="B21" s="383" t="s">
        <v>668</v>
      </c>
      <c r="C21" s="403" t="s">
        <v>674</v>
      </c>
      <c r="D21" s="430">
        <v>2017</v>
      </c>
      <c r="E21" s="394">
        <v>0.50684931506849318</v>
      </c>
      <c r="F21" s="395">
        <v>-12031868.717000354</v>
      </c>
      <c r="G21" s="395">
        <v>-2888612.9927249858</v>
      </c>
      <c r="H21" s="396">
        <f t="shared" si="0"/>
        <v>-2888612.9927249858</v>
      </c>
      <c r="I21" s="395">
        <v>0</v>
      </c>
      <c r="J21" s="396">
        <f t="shared" si="1"/>
        <v>0</v>
      </c>
      <c r="K21" s="400">
        <v>-197322.6469588044</v>
      </c>
      <c r="L21" s="396">
        <f t="shared" si="2"/>
        <v>-11914.341423372611</v>
      </c>
      <c r="M21" s="397">
        <f t="shared" si="3"/>
        <v>-1470130.292650538</v>
      </c>
      <c r="N21" s="401"/>
      <c r="O21" s="402"/>
      <c r="P21" s="399"/>
      <c r="Q21" s="399"/>
      <c r="R21" s="399"/>
      <c r="S21" s="402"/>
    </row>
    <row r="22" spans="2:19" ht="15.6">
      <c r="B22" s="383" t="s">
        <v>668</v>
      </c>
      <c r="C22" s="403" t="s">
        <v>675</v>
      </c>
      <c r="D22" s="430">
        <v>2017</v>
      </c>
      <c r="E22" s="394">
        <v>0.42191780821917807</v>
      </c>
      <c r="F22" s="395">
        <v>-12496129.571389873</v>
      </c>
      <c r="G22" s="395">
        <v>-2056372.1663200122</v>
      </c>
      <c r="H22" s="396">
        <f t="shared" si="0"/>
        <v>-2056372.1663200122</v>
      </c>
      <c r="I22" s="395">
        <v>0</v>
      </c>
      <c r="J22" s="396">
        <f t="shared" si="1"/>
        <v>0</v>
      </c>
      <c r="K22" s="400">
        <v>-204936.52497079893</v>
      </c>
      <c r="L22" s="396">
        <f t="shared" si="2"/>
        <v>-12374.067377736839</v>
      </c>
      <c r="M22" s="397">
        <f t="shared" si="3"/>
        <v>-872840.87668343377</v>
      </c>
      <c r="N22" s="401"/>
      <c r="O22" s="402"/>
      <c r="P22" s="399"/>
      <c r="Q22" s="399"/>
      <c r="R22" s="399"/>
      <c r="S22" s="402"/>
    </row>
    <row r="23" spans="2:19" ht="15.6">
      <c r="B23" s="383" t="s">
        <v>668</v>
      </c>
      <c r="C23" s="403" t="s">
        <v>676</v>
      </c>
      <c r="D23" s="430">
        <v>2017</v>
      </c>
      <c r="E23" s="394">
        <v>0.33698630136986302</v>
      </c>
      <c r="F23" s="395">
        <v>-14293896.447239909</v>
      </c>
      <c r="G23" s="395">
        <v>-2051313.8193830091</v>
      </c>
      <c r="H23" s="396">
        <f t="shared" si="0"/>
        <v>-2051313.8193830091</v>
      </c>
      <c r="I23" s="395">
        <v>0</v>
      </c>
      <c r="J23" s="396">
        <f t="shared" si="1"/>
        <v>0</v>
      </c>
      <c r="K23" s="400">
        <v>-234419.90173473459</v>
      </c>
      <c r="L23" s="396">
        <f t="shared" si="2"/>
        <v>-14154.273666743276</v>
      </c>
      <c r="M23" s="397">
        <f t="shared" si="3"/>
        <v>-696034.45327430009</v>
      </c>
      <c r="N23" s="401"/>
      <c r="O23" s="402"/>
      <c r="P23" s="399"/>
      <c r="Q23" s="399"/>
      <c r="R23" s="399"/>
      <c r="S23" s="402"/>
    </row>
    <row r="24" spans="2:19" ht="15.6">
      <c r="B24" s="383" t="s">
        <v>668</v>
      </c>
      <c r="C24" s="403" t="s">
        <v>677</v>
      </c>
      <c r="D24" s="430">
        <v>2017</v>
      </c>
      <c r="E24" s="394">
        <v>0.25479452054794521</v>
      </c>
      <c r="F24" s="395">
        <v>-16956230.174719822</v>
      </c>
      <c r="G24" s="395">
        <v>-2081796.3471189723</v>
      </c>
      <c r="H24" s="396">
        <f t="shared" si="0"/>
        <v>-2081796.3471189723</v>
      </c>
      <c r="I24" s="395">
        <v>0</v>
      </c>
      <c r="J24" s="396">
        <f t="shared" si="1"/>
        <v>0</v>
      </c>
      <c r="K24" s="400">
        <v>-278082.17486540525</v>
      </c>
      <c r="L24" s="396">
        <f t="shared" si="2"/>
        <v>-16790.601718373171</v>
      </c>
      <c r="M24" s="397">
        <f t="shared" si="3"/>
        <v>-534708.45545718668</v>
      </c>
      <c r="N24" s="401"/>
      <c r="O24" s="402"/>
      <c r="P24" s="399"/>
      <c r="Q24" s="399"/>
      <c r="R24" s="399"/>
      <c r="S24" s="402"/>
    </row>
    <row r="25" spans="2:19" ht="15.6">
      <c r="B25" s="383" t="s">
        <v>668</v>
      </c>
      <c r="C25" s="403" t="s">
        <v>678</v>
      </c>
      <c r="D25" s="430">
        <v>2017</v>
      </c>
      <c r="E25" s="394">
        <v>0.16986301369863013</v>
      </c>
      <c r="F25" s="395">
        <v>-14590532.562860288</v>
      </c>
      <c r="G25" s="395">
        <v>-2487856.6319470117</v>
      </c>
      <c r="H25" s="396">
        <f t="shared" si="0"/>
        <v>-2487856.6319470117</v>
      </c>
      <c r="I25" s="395">
        <v>0</v>
      </c>
      <c r="J25" s="396">
        <f t="shared" si="1"/>
        <v>0</v>
      </c>
      <c r="K25" s="400">
        <v>-239284.73403090902</v>
      </c>
      <c r="L25" s="396">
        <f t="shared" si="2"/>
        <v>-14448.012240786287</v>
      </c>
      <c r="M25" s="397">
        <f t="shared" si="3"/>
        <v>-425049.00805381767</v>
      </c>
      <c r="N25" s="401"/>
      <c r="O25" s="402"/>
      <c r="P25" s="399"/>
      <c r="Q25" s="399"/>
      <c r="R25" s="399"/>
      <c r="S25" s="402"/>
    </row>
    <row r="26" spans="2:19" ht="15.6">
      <c r="B26" s="383" t="s">
        <v>668</v>
      </c>
      <c r="C26" s="403" t="s">
        <v>679</v>
      </c>
      <c r="D26" s="430">
        <v>2017</v>
      </c>
      <c r="E26" s="394">
        <v>8.7671232876712329E-2</v>
      </c>
      <c r="F26" s="395">
        <v>-16639174.466299824</v>
      </c>
      <c r="G26" s="395">
        <v>-2814134.5713990158</v>
      </c>
      <c r="H26" s="396">
        <f t="shared" si="0"/>
        <v>-2814134.5713990158</v>
      </c>
      <c r="I26" s="395">
        <v>0</v>
      </c>
      <c r="J26" s="396">
        <f t="shared" si="1"/>
        <v>0</v>
      </c>
      <c r="K26" s="400">
        <v>-272882.46124731813</v>
      </c>
      <c r="L26" s="396">
        <f t="shared" si="2"/>
        <v>-16476.643010113068</v>
      </c>
      <c r="M26" s="397">
        <f t="shared" si="3"/>
        <v>-248163.17496189623</v>
      </c>
      <c r="N26" s="401"/>
      <c r="O26" s="402"/>
      <c r="P26" s="399"/>
      <c r="Q26" s="399"/>
      <c r="R26" s="399"/>
      <c r="S26" s="402"/>
    </row>
    <row r="27" spans="2:19" ht="15.6">
      <c r="B27" s="383" t="s">
        <v>668</v>
      </c>
      <c r="C27" s="383" t="str">
        <f>+C15</f>
        <v xml:space="preserve">December </v>
      </c>
      <c r="D27" s="430">
        <v>2017</v>
      </c>
      <c r="E27" s="394">
        <v>2.7397260273972603E-3</v>
      </c>
      <c r="F27" s="395">
        <v>-132626575.10776027</v>
      </c>
      <c r="G27" s="395">
        <v>-3219283.6167669739</v>
      </c>
      <c r="H27" s="396">
        <f t="shared" si="0"/>
        <v>-3219283.6167669739</v>
      </c>
      <c r="I27" s="395">
        <v>0</v>
      </c>
      <c r="J27" s="396">
        <f t="shared" si="1"/>
        <v>0</v>
      </c>
      <c r="K27" s="400">
        <v>-2175075.8317672662</v>
      </c>
      <c r="L27" s="396">
        <f t="shared" si="2"/>
        <v>-131331.07872210754</v>
      </c>
      <c r="M27" s="397">
        <f t="shared" si="3"/>
        <v>-9179.7662890111824</v>
      </c>
      <c r="N27" s="401"/>
      <c r="O27" s="402"/>
      <c r="P27" s="399"/>
      <c r="Q27" s="399"/>
      <c r="R27" s="399"/>
      <c r="S27" s="402"/>
    </row>
    <row r="28" spans="2:19">
      <c r="B28" s="383" t="s">
        <v>680</v>
      </c>
      <c r="D28" s="430">
        <v>2017</v>
      </c>
      <c r="E28" s="404" t="s">
        <v>666</v>
      </c>
      <c r="F28" s="396">
        <f>SUM(F15:F27)</f>
        <v>-2937779360.297121</v>
      </c>
      <c r="G28" s="404"/>
      <c r="H28" s="404"/>
      <c r="I28" s="404"/>
      <c r="J28" s="405"/>
      <c r="K28" s="405"/>
      <c r="L28" s="383" t="s">
        <v>681</v>
      </c>
      <c r="M28" s="397">
        <f>SUM(M15:M27)</f>
        <v>-233460838.32845795</v>
      </c>
    </row>
    <row r="29" spans="2:19">
      <c r="D29" s="406"/>
      <c r="E29" s="404"/>
      <c r="F29" s="404"/>
      <c r="G29" s="404"/>
      <c r="H29" s="404"/>
      <c r="I29" s="404"/>
      <c r="J29" s="405"/>
      <c r="K29" s="405"/>
    </row>
    <row r="30" spans="2:19" s="383" customFormat="1">
      <c r="E30" s="407"/>
      <c r="F30" s="407"/>
      <c r="G30" s="407"/>
      <c r="H30" s="407"/>
      <c r="I30" s="407"/>
      <c r="J30" s="407"/>
      <c r="K30" s="407"/>
      <c r="O30" s="385"/>
      <c r="P30" s="385"/>
      <c r="Q30" s="385"/>
      <c r="R30" s="385"/>
      <c r="S30" s="385"/>
    </row>
    <row r="31" spans="2:19" s="383" customFormat="1">
      <c r="B31" s="391"/>
      <c r="C31" s="392" t="s">
        <v>682</v>
      </c>
      <c r="E31" s="407"/>
      <c r="F31" s="407"/>
      <c r="G31" s="407"/>
      <c r="H31" s="407"/>
      <c r="I31" s="407"/>
      <c r="J31" s="407"/>
      <c r="K31" s="407"/>
      <c r="O31" s="385"/>
      <c r="P31" s="385"/>
      <c r="Q31" s="385"/>
      <c r="R31" s="385"/>
      <c r="S31" s="385"/>
    </row>
    <row r="32" spans="2:19" s="383" customFormat="1">
      <c r="B32" s="391" t="s">
        <v>666</v>
      </c>
      <c r="C32" s="391" t="s">
        <v>667</v>
      </c>
      <c r="D32" s="393">
        <v>2016</v>
      </c>
      <c r="F32" s="395">
        <v>-121262596.05000001</v>
      </c>
      <c r="G32" s="395">
        <v>0</v>
      </c>
      <c r="H32" s="396"/>
      <c r="I32" s="395">
        <v>-166531.1399999999</v>
      </c>
      <c r="J32" s="396"/>
      <c r="K32" s="395">
        <v>-13696017.890000001</v>
      </c>
      <c r="L32" s="396"/>
      <c r="O32" s="385"/>
      <c r="P32" s="385"/>
      <c r="Q32" s="385"/>
      <c r="R32" s="385"/>
      <c r="S32" s="385"/>
    </row>
    <row r="33" spans="2:19" s="383" customFormat="1">
      <c r="B33" s="391" t="s">
        <v>666</v>
      </c>
      <c r="C33" s="391" t="str">
        <f>+C32</f>
        <v xml:space="preserve">December </v>
      </c>
      <c r="D33" s="393">
        <v>2017</v>
      </c>
      <c r="F33" s="395">
        <v>-121262596.05000001</v>
      </c>
      <c r="G33" s="395">
        <v>0</v>
      </c>
      <c r="H33" s="396"/>
      <c r="I33" s="395">
        <v>-166531.1399999999</v>
      </c>
      <c r="J33" s="396"/>
      <c r="K33" s="395">
        <v>-13696017.890000001</v>
      </c>
      <c r="L33" s="396"/>
      <c r="O33" s="385"/>
      <c r="P33" s="385"/>
      <c r="Q33" s="385"/>
      <c r="R33" s="385"/>
      <c r="S33" s="385"/>
    </row>
    <row r="34" spans="2:19" s="383" customFormat="1">
      <c r="B34" s="391"/>
      <c r="C34" s="391" t="s">
        <v>595</v>
      </c>
      <c r="D34" s="408"/>
      <c r="F34" s="396">
        <f>+F32/2+F33/2</f>
        <v>-121262596.05000001</v>
      </c>
      <c r="G34" s="396">
        <f>+G32/2+G33/2</f>
        <v>0</v>
      </c>
      <c r="H34" s="396">
        <f>+H$12*G34</f>
        <v>0</v>
      </c>
      <c r="I34" s="396">
        <f>+I32/2+I33/2</f>
        <v>-166531.1399999999</v>
      </c>
      <c r="J34" s="396">
        <f>+I34*J$12</f>
        <v>-17510.749370999987</v>
      </c>
      <c r="K34" s="396">
        <f>+K32/2+K33/2</f>
        <v>-13696017.890000001</v>
      </c>
      <c r="L34" s="396">
        <f>+K34*L12</f>
        <v>-826965.56019820005</v>
      </c>
      <c r="M34" s="409">
        <f>+L34+J34+H34</f>
        <v>-844476.30956920004</v>
      </c>
      <c r="O34" s="385"/>
      <c r="P34" s="385"/>
      <c r="Q34" s="385"/>
      <c r="R34" s="385"/>
      <c r="S34" s="385"/>
    </row>
    <row r="35" spans="2:19" s="383" customFormat="1">
      <c r="B35" s="391"/>
      <c r="C35" s="391"/>
      <c r="D35" s="408"/>
      <c r="E35" s="396"/>
      <c r="F35" s="407"/>
      <c r="G35" s="410"/>
      <c r="H35" s="396"/>
      <c r="I35" s="396"/>
      <c r="J35" s="396"/>
      <c r="K35" s="396"/>
      <c r="O35" s="385"/>
      <c r="P35" s="385"/>
      <c r="Q35" s="385"/>
      <c r="R35" s="385"/>
      <c r="S35" s="385"/>
    </row>
    <row r="36" spans="2:19" s="383" customFormat="1">
      <c r="B36" s="391"/>
      <c r="C36" s="391"/>
      <c r="D36" s="408"/>
      <c r="E36" s="396"/>
      <c r="F36" s="396"/>
      <c r="G36" s="396"/>
      <c r="I36" s="410"/>
      <c r="J36" s="396"/>
      <c r="K36" s="396"/>
      <c r="O36" s="385"/>
      <c r="P36" s="385"/>
      <c r="Q36" s="385"/>
      <c r="R36" s="385"/>
      <c r="S36" s="385"/>
    </row>
    <row r="37" spans="2:19" s="383" customFormat="1">
      <c r="B37" s="391"/>
      <c r="C37" s="392" t="s">
        <v>683</v>
      </c>
      <c r="E37" s="407"/>
      <c r="F37" s="407"/>
      <c r="G37" s="407"/>
      <c r="H37" s="407"/>
      <c r="I37" s="407"/>
      <c r="J37" s="407"/>
      <c r="K37" s="407"/>
      <c r="O37" s="385"/>
      <c r="P37" s="385"/>
      <c r="Q37" s="385"/>
      <c r="R37" s="385"/>
      <c r="S37" s="385"/>
    </row>
    <row r="38" spans="2:19" s="383" customFormat="1">
      <c r="B38" s="391" t="s">
        <v>666</v>
      </c>
      <c r="C38" s="391" t="s">
        <v>667</v>
      </c>
      <c r="D38" s="430">
        <v>2016</v>
      </c>
      <c r="E38" s="385"/>
      <c r="F38" s="411" t="s">
        <v>45</v>
      </c>
      <c r="G38" s="411" t="s">
        <v>45</v>
      </c>
      <c r="H38" s="411"/>
      <c r="I38" s="411" t="s">
        <v>45</v>
      </c>
      <c r="J38" s="411"/>
      <c r="K38" s="411" t="s">
        <v>45</v>
      </c>
      <c r="L38" s="411"/>
      <c r="M38" s="411"/>
      <c r="O38" s="385"/>
      <c r="P38" s="385"/>
      <c r="Q38" s="385"/>
      <c r="R38" s="385"/>
      <c r="S38" s="385"/>
    </row>
    <row r="39" spans="2:19" s="383" customFormat="1">
      <c r="B39" s="391" t="s">
        <v>666</v>
      </c>
      <c r="C39" s="391" t="str">
        <f>+C38</f>
        <v xml:space="preserve">December </v>
      </c>
      <c r="D39" s="430">
        <v>2017</v>
      </c>
      <c r="E39" s="385"/>
      <c r="F39" s="411" t="s">
        <v>45</v>
      </c>
      <c r="G39" s="411" t="s">
        <v>45</v>
      </c>
      <c r="H39" s="411"/>
      <c r="I39" s="411" t="s">
        <v>45</v>
      </c>
      <c r="J39" s="411"/>
      <c r="K39" s="411" t="s">
        <v>45</v>
      </c>
      <c r="L39" s="411"/>
      <c r="M39" s="411"/>
      <c r="O39" s="385"/>
      <c r="P39" s="385"/>
      <c r="Q39" s="385"/>
      <c r="R39" s="385"/>
      <c r="S39" s="385"/>
    </row>
    <row r="40" spans="2:19" s="383" customFormat="1">
      <c r="B40" s="391"/>
      <c r="C40" s="391" t="s">
        <v>595</v>
      </c>
      <c r="D40" s="408"/>
      <c r="E40" s="385"/>
      <c r="F40" s="411" t="s">
        <v>45</v>
      </c>
      <c r="G40" s="411" t="s">
        <v>45</v>
      </c>
      <c r="H40" s="411" t="s">
        <v>45</v>
      </c>
      <c r="I40" s="411" t="s">
        <v>45</v>
      </c>
      <c r="J40" s="411" t="s">
        <v>45</v>
      </c>
      <c r="K40" s="411" t="s">
        <v>45</v>
      </c>
      <c r="L40" s="411" t="s">
        <v>45</v>
      </c>
      <c r="M40" s="411" t="s">
        <v>45</v>
      </c>
      <c r="O40" s="385"/>
      <c r="P40" s="385"/>
      <c r="Q40" s="385"/>
      <c r="R40" s="385"/>
      <c r="S40" s="385"/>
    </row>
    <row r="41" spans="2:19" s="383" customFormat="1">
      <c r="B41" s="391"/>
      <c r="C41" s="391"/>
      <c r="D41" s="408"/>
      <c r="E41" s="396"/>
      <c r="F41" s="396"/>
      <c r="G41" s="396"/>
      <c r="H41" s="396"/>
      <c r="I41" s="396"/>
      <c r="J41" s="396"/>
      <c r="K41" s="396"/>
      <c r="L41" s="409"/>
      <c r="O41" s="385"/>
      <c r="P41" s="385"/>
      <c r="Q41" s="385"/>
      <c r="R41" s="385"/>
      <c r="S41" s="385"/>
    </row>
    <row r="42" spans="2:19" s="383" customFormat="1">
      <c r="B42" s="391"/>
      <c r="C42" s="391"/>
      <c r="E42" s="405"/>
      <c r="F42" s="405"/>
      <c r="G42" s="405"/>
      <c r="H42" s="405"/>
      <c r="I42" s="405"/>
      <c r="J42" s="405"/>
      <c r="K42" s="405"/>
      <c r="O42" s="385"/>
      <c r="P42" s="385"/>
      <c r="Q42" s="385"/>
      <c r="R42" s="385"/>
      <c r="S42" s="385"/>
    </row>
    <row r="43" spans="2:19" s="383" customFormat="1">
      <c r="B43" s="391"/>
      <c r="C43" s="412" t="s">
        <v>684</v>
      </c>
      <c r="E43" s="405"/>
      <c r="F43" s="405"/>
      <c r="G43" s="405"/>
      <c r="H43" s="405"/>
      <c r="I43" s="405"/>
      <c r="J43" s="405"/>
      <c r="K43" s="405"/>
      <c r="O43" s="385"/>
      <c r="P43" s="385"/>
      <c r="Q43" s="385"/>
      <c r="R43" s="385"/>
      <c r="S43" s="385"/>
    </row>
    <row r="44" spans="2:19" s="383" customFormat="1">
      <c r="B44" s="391" t="s">
        <v>666</v>
      </c>
      <c r="C44" s="391" t="s">
        <v>667</v>
      </c>
      <c r="D44" s="393">
        <v>2016</v>
      </c>
      <c r="F44" s="395">
        <v>225769386.93000004</v>
      </c>
      <c r="G44" s="395">
        <v>1951745.52</v>
      </c>
      <c r="H44" s="396"/>
      <c r="I44" s="395">
        <v>41264665.120000005</v>
      </c>
      <c r="J44" s="396"/>
      <c r="K44" s="395">
        <v>36728509.689999998</v>
      </c>
      <c r="L44" s="396"/>
      <c r="O44" s="385"/>
      <c r="P44" s="385"/>
      <c r="Q44" s="385"/>
      <c r="R44" s="385"/>
      <c r="S44" s="385"/>
    </row>
    <row r="45" spans="2:19" s="383" customFormat="1">
      <c r="B45" s="391" t="s">
        <v>666</v>
      </c>
      <c r="C45" s="391" t="str">
        <f>+C44</f>
        <v xml:space="preserve">December </v>
      </c>
      <c r="D45" s="393">
        <v>2017</v>
      </c>
      <c r="F45" s="395">
        <v>225769386.93000004</v>
      </c>
      <c r="G45" s="395">
        <v>1951745.52</v>
      </c>
      <c r="H45" s="396"/>
      <c r="I45" s="395">
        <v>41264665.120000005</v>
      </c>
      <c r="J45" s="396"/>
      <c r="K45" s="395">
        <v>36728509.689999998</v>
      </c>
      <c r="L45" s="396"/>
      <c r="O45" s="385"/>
      <c r="P45" s="385"/>
      <c r="Q45" s="385"/>
      <c r="R45" s="385"/>
      <c r="S45" s="385"/>
    </row>
    <row r="46" spans="2:19" s="383" customFormat="1">
      <c r="B46" s="391"/>
      <c r="C46" s="391" t="s">
        <v>595</v>
      </c>
      <c r="D46" s="408"/>
      <c r="F46" s="396">
        <f>+F44/2+F45/2</f>
        <v>225769386.93000004</v>
      </c>
      <c r="G46" s="396">
        <f>+G44/2+G45/2</f>
        <v>1951745.52</v>
      </c>
      <c r="H46" s="396">
        <f>+H$12*G46</f>
        <v>1951745.52</v>
      </c>
      <c r="I46" s="396">
        <f>+I44/2+I45/2</f>
        <v>41264665.120000005</v>
      </c>
      <c r="J46" s="396">
        <f>+I46*J$12</f>
        <v>4338979.5373680005</v>
      </c>
      <c r="K46" s="396">
        <f>+K44/2+K45/2</f>
        <v>36728509.689999998</v>
      </c>
      <c r="L46" s="396">
        <f>+K46*L12</f>
        <v>2217667.4150822</v>
      </c>
      <c r="M46" s="409">
        <f>+L46+J46+H46</f>
        <v>8508392.4724502005</v>
      </c>
      <c r="O46" s="385"/>
      <c r="P46" s="385"/>
      <c r="Q46" s="385"/>
      <c r="R46" s="385"/>
      <c r="S46" s="385"/>
    </row>
    <row r="47" spans="2:19" s="383" customFormat="1">
      <c r="D47" s="408"/>
      <c r="E47" s="396"/>
      <c r="F47" s="410"/>
      <c r="G47" s="410"/>
      <c r="H47" s="396"/>
      <c r="I47" s="396"/>
      <c r="J47" s="396"/>
      <c r="K47" s="396"/>
      <c r="O47" s="385"/>
      <c r="P47" s="385"/>
      <c r="Q47" s="385"/>
      <c r="R47" s="385"/>
      <c r="S47" s="385"/>
    </row>
    <row r="48" spans="2:19" s="383" customFormat="1">
      <c r="B48" s="383" t="s">
        <v>685</v>
      </c>
      <c r="D48" s="408"/>
      <c r="E48" s="396"/>
      <c r="F48" s="410"/>
      <c r="G48" s="410"/>
      <c r="H48" s="396"/>
      <c r="I48" s="396"/>
      <c r="J48" s="396"/>
      <c r="K48" s="396"/>
      <c r="M48" s="409">
        <f>+M28+M34+M46</f>
        <v>-225796922.16557696</v>
      </c>
      <c r="O48" s="385"/>
      <c r="P48" s="385"/>
      <c r="Q48" s="385"/>
      <c r="R48" s="385"/>
      <c r="S48" s="385"/>
    </row>
    <row r="49" spans="4:19" s="383" customFormat="1">
      <c r="D49" s="408"/>
      <c r="E49" s="396"/>
      <c r="F49" s="410"/>
      <c r="G49" s="410"/>
      <c r="H49" s="396"/>
      <c r="I49" s="396"/>
      <c r="J49" s="396"/>
      <c r="K49" s="396"/>
      <c r="O49" s="385"/>
      <c r="P49" s="385"/>
      <c r="Q49" s="385"/>
      <c r="R49" s="385"/>
      <c r="S49" s="385"/>
    </row>
    <row r="50" spans="4:19" s="383" customFormat="1">
      <c r="D50" s="408"/>
      <c r="E50" s="396"/>
      <c r="F50" s="396"/>
      <c r="G50" s="396"/>
      <c r="H50" s="410"/>
      <c r="I50" s="410"/>
      <c r="J50" s="396"/>
      <c r="K50" s="396"/>
      <c r="O50" s="385"/>
      <c r="P50" s="385"/>
      <c r="Q50" s="385"/>
      <c r="R50" s="385"/>
      <c r="S50" s="385"/>
    </row>
    <row r="51" spans="4:19" s="383" customFormat="1">
      <c r="L51" s="397"/>
      <c r="M51" s="397"/>
      <c r="O51" s="385"/>
      <c r="P51" s="385"/>
      <c r="Q51" s="385"/>
      <c r="R51" s="385"/>
      <c r="S51" s="385"/>
    </row>
    <row r="52" spans="4:19" s="383" customFormat="1">
      <c r="L52" s="397"/>
      <c r="O52" s="385"/>
      <c r="P52" s="385"/>
      <c r="Q52" s="385"/>
      <c r="R52" s="385"/>
      <c r="S52" s="385"/>
    </row>
  </sheetData>
  <mergeCells count="1">
    <mergeCell ref="A4:M4"/>
  </mergeCells>
  <pageMargins left="0.7" right="0.7" top="0.75" bottom="0.75" header="0.3" footer="0.3"/>
  <pageSetup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10" sqref="B10:B21"/>
    </sheetView>
  </sheetViews>
  <sheetFormatPr defaultRowHeight="15"/>
  <cols>
    <col min="1" max="1" width="6.81640625" customWidth="1"/>
    <col min="2" max="5" width="16.81640625" customWidth="1"/>
  </cols>
  <sheetData>
    <row r="1" spans="1:5">
      <c r="A1" t="s">
        <v>280</v>
      </c>
    </row>
    <row r="2" spans="1:5">
      <c r="A2" t="s">
        <v>470</v>
      </c>
    </row>
    <row r="3" spans="1:5">
      <c r="A3" t="s">
        <v>693</v>
      </c>
    </row>
    <row r="5" spans="1:5">
      <c r="B5" s="170" t="s">
        <v>411</v>
      </c>
      <c r="C5" s="170" t="s">
        <v>412</v>
      </c>
      <c r="D5" s="170" t="s">
        <v>417</v>
      </c>
      <c r="E5" s="170" t="s">
        <v>413</v>
      </c>
    </row>
    <row r="7" spans="1:5" ht="15.6">
      <c r="A7" s="230" t="s">
        <v>4</v>
      </c>
      <c r="B7" s="198"/>
      <c r="C7" s="225" t="s">
        <v>466</v>
      </c>
      <c r="D7" s="225" t="s">
        <v>467</v>
      </c>
      <c r="E7" s="226"/>
    </row>
    <row r="8" spans="1:5" ht="15.6">
      <c r="A8" s="235" t="s">
        <v>6</v>
      </c>
      <c r="B8" s="200" t="s">
        <v>405</v>
      </c>
      <c r="C8" s="177" t="s">
        <v>468</v>
      </c>
      <c r="D8" s="177" t="s">
        <v>469</v>
      </c>
      <c r="E8" s="178" t="s">
        <v>9</v>
      </c>
    </row>
    <row r="9" spans="1:5">
      <c r="A9" s="191">
        <v>1</v>
      </c>
      <c r="B9" s="195">
        <v>42705</v>
      </c>
      <c r="C9" s="182">
        <v>0</v>
      </c>
      <c r="D9" s="182">
        <v>0</v>
      </c>
      <c r="E9" s="216">
        <f>SUM(C9:D9)</f>
        <v>0</v>
      </c>
    </row>
    <row r="10" spans="1:5">
      <c r="A10" s="192">
        <v>2</v>
      </c>
      <c r="B10" s="196">
        <v>42736</v>
      </c>
      <c r="C10" s="135">
        <v>0</v>
      </c>
      <c r="D10" s="135">
        <v>0</v>
      </c>
      <c r="E10" s="134">
        <f t="shared" ref="E10:E21" si="0">SUM(C10:D10)</f>
        <v>0</v>
      </c>
    </row>
    <row r="11" spans="1:5">
      <c r="A11" s="192">
        <v>3</v>
      </c>
      <c r="B11" s="196">
        <v>42767</v>
      </c>
      <c r="C11" s="135">
        <v>0</v>
      </c>
      <c r="D11" s="135">
        <v>0</v>
      </c>
      <c r="E11" s="134">
        <f t="shared" si="0"/>
        <v>0</v>
      </c>
    </row>
    <row r="12" spans="1:5">
      <c r="A12" s="192">
        <v>4</v>
      </c>
      <c r="B12" s="196">
        <v>42795</v>
      </c>
      <c r="C12" s="135">
        <v>0</v>
      </c>
      <c r="D12" s="135">
        <v>0</v>
      </c>
      <c r="E12" s="134">
        <f t="shared" si="0"/>
        <v>0</v>
      </c>
    </row>
    <row r="13" spans="1:5">
      <c r="A13" s="192">
        <v>5</v>
      </c>
      <c r="B13" s="196">
        <v>42826</v>
      </c>
      <c r="C13" s="135">
        <v>0</v>
      </c>
      <c r="D13" s="135">
        <v>0</v>
      </c>
      <c r="E13" s="134">
        <f t="shared" si="0"/>
        <v>0</v>
      </c>
    </row>
    <row r="14" spans="1:5">
      <c r="A14" s="192">
        <v>6</v>
      </c>
      <c r="B14" s="196">
        <v>42856</v>
      </c>
      <c r="C14" s="135">
        <v>0</v>
      </c>
      <c r="D14" s="135">
        <v>0</v>
      </c>
      <c r="E14" s="134">
        <f t="shared" si="0"/>
        <v>0</v>
      </c>
    </row>
    <row r="15" spans="1:5">
      <c r="A15" s="192">
        <v>7</v>
      </c>
      <c r="B15" s="196">
        <v>42887</v>
      </c>
      <c r="C15" s="135">
        <v>0</v>
      </c>
      <c r="D15" s="135">
        <v>0</v>
      </c>
      <c r="E15" s="134">
        <f t="shared" si="0"/>
        <v>0</v>
      </c>
    </row>
    <row r="16" spans="1:5">
      <c r="A16" s="192">
        <v>8</v>
      </c>
      <c r="B16" s="196">
        <v>42917</v>
      </c>
      <c r="C16" s="135">
        <v>0</v>
      </c>
      <c r="D16" s="135">
        <v>0</v>
      </c>
      <c r="E16" s="134">
        <f t="shared" si="0"/>
        <v>0</v>
      </c>
    </row>
    <row r="17" spans="1:5">
      <c r="A17" s="192">
        <v>9</v>
      </c>
      <c r="B17" s="196">
        <v>42948</v>
      </c>
      <c r="C17" s="135">
        <v>0</v>
      </c>
      <c r="D17" s="135">
        <v>0</v>
      </c>
      <c r="E17" s="134">
        <f t="shared" si="0"/>
        <v>0</v>
      </c>
    </row>
    <row r="18" spans="1:5">
      <c r="A18" s="192">
        <v>10</v>
      </c>
      <c r="B18" s="196">
        <v>42979</v>
      </c>
      <c r="C18" s="135">
        <v>0</v>
      </c>
      <c r="D18" s="135">
        <v>0</v>
      </c>
      <c r="E18" s="134">
        <f t="shared" si="0"/>
        <v>0</v>
      </c>
    </row>
    <row r="19" spans="1:5">
      <c r="A19" s="192">
        <v>11</v>
      </c>
      <c r="B19" s="196">
        <v>43009</v>
      </c>
      <c r="C19" s="135">
        <v>0</v>
      </c>
      <c r="D19" s="135">
        <v>0</v>
      </c>
      <c r="E19" s="134">
        <f t="shared" si="0"/>
        <v>0</v>
      </c>
    </row>
    <row r="20" spans="1:5">
      <c r="A20" s="192">
        <v>12</v>
      </c>
      <c r="B20" s="196">
        <v>43040</v>
      </c>
      <c r="C20" s="135">
        <v>0</v>
      </c>
      <c r="D20" s="135">
        <v>0</v>
      </c>
      <c r="E20" s="134">
        <f t="shared" si="0"/>
        <v>0</v>
      </c>
    </row>
    <row r="21" spans="1:5">
      <c r="A21" s="192">
        <v>13</v>
      </c>
      <c r="B21" s="196">
        <v>43070</v>
      </c>
      <c r="C21" s="162">
        <v>0</v>
      </c>
      <c r="D21" s="162">
        <v>0</v>
      </c>
      <c r="E21" s="188">
        <f t="shared" si="0"/>
        <v>0</v>
      </c>
    </row>
    <row r="22" spans="1:5">
      <c r="A22" s="192">
        <v>14</v>
      </c>
      <c r="B22" s="132"/>
      <c r="C22" s="135"/>
      <c r="D22" s="135"/>
      <c r="E22" s="134"/>
    </row>
    <row r="23" spans="1:5" ht="15.6">
      <c r="A23" s="192">
        <v>15</v>
      </c>
      <c r="B23" s="206" t="s">
        <v>410</v>
      </c>
      <c r="C23" s="135">
        <f>AVERAGE(C9:C21)</f>
        <v>0</v>
      </c>
      <c r="D23" s="135">
        <f>AVERAGE(D9:D21)</f>
        <v>0</v>
      </c>
      <c r="E23" s="211">
        <f>AVERAGE(E9:E21)</f>
        <v>0</v>
      </c>
    </row>
    <row r="24" spans="1:5">
      <c r="A24" s="181"/>
      <c r="B24" s="187"/>
      <c r="C24" s="162"/>
      <c r="D24" s="162"/>
      <c r="E24" s="18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selection activeCell="E22" sqref="E22"/>
    </sheetView>
  </sheetViews>
  <sheetFormatPr defaultRowHeight="15"/>
  <cols>
    <col min="1" max="1" width="6.81640625" customWidth="1"/>
    <col min="2" max="2" width="16.453125" customWidth="1"/>
    <col min="3" max="3" width="16" bestFit="1" customWidth="1"/>
    <col min="4" max="4" width="12.453125" bestFit="1" customWidth="1"/>
    <col min="5" max="5" width="13.54296875" bestFit="1" customWidth="1"/>
    <col min="6" max="6" width="14.54296875" bestFit="1" customWidth="1"/>
  </cols>
  <sheetData>
    <row r="1" spans="1:6" ht="15.6">
      <c r="A1" s="161" t="s">
        <v>280</v>
      </c>
    </row>
    <row r="2" spans="1:6" ht="15.6">
      <c r="A2" s="161" t="s">
        <v>420</v>
      </c>
    </row>
    <row r="3" spans="1:6" ht="15.6">
      <c r="A3" s="161" t="s">
        <v>693</v>
      </c>
    </row>
    <row r="5" spans="1:6">
      <c r="B5" s="170" t="s">
        <v>411</v>
      </c>
      <c r="C5" s="170" t="s">
        <v>412</v>
      </c>
      <c r="D5" s="170" t="s">
        <v>417</v>
      </c>
      <c r="E5" s="170" t="s">
        <v>413</v>
      </c>
      <c r="F5" s="170" t="s">
        <v>414</v>
      </c>
    </row>
    <row r="7" spans="1:6" ht="15.6">
      <c r="A7" s="171" t="s">
        <v>4</v>
      </c>
      <c r="B7" s="198"/>
      <c r="C7" s="461" t="s">
        <v>422</v>
      </c>
      <c r="D7" s="461"/>
      <c r="E7" s="461"/>
      <c r="F7" s="462"/>
    </row>
    <row r="8" spans="1:6" ht="15.6">
      <c r="A8" s="172" t="s">
        <v>6</v>
      </c>
      <c r="B8" s="200" t="s">
        <v>405</v>
      </c>
      <c r="C8" s="177" t="s">
        <v>406</v>
      </c>
      <c r="D8" s="177" t="s">
        <v>38</v>
      </c>
      <c r="E8" s="177" t="s">
        <v>407</v>
      </c>
      <c r="F8" s="178" t="s">
        <v>421</v>
      </c>
    </row>
    <row r="9" spans="1:6">
      <c r="A9" s="191">
        <v>1</v>
      </c>
      <c r="B9" s="195">
        <v>42705</v>
      </c>
      <c r="C9" s="201">
        <v>194389492</v>
      </c>
      <c r="D9" s="201">
        <v>8076129</v>
      </c>
      <c r="E9" s="201">
        <v>20079482</v>
      </c>
      <c r="F9" s="202">
        <f>SUM(C9:E9)</f>
        <v>222545103</v>
      </c>
    </row>
    <row r="10" spans="1:6">
      <c r="A10" s="192">
        <v>2</v>
      </c>
      <c r="B10" s="196">
        <v>42736</v>
      </c>
      <c r="C10" s="203">
        <v>191251563</v>
      </c>
      <c r="D10" s="203">
        <v>10048508</v>
      </c>
      <c r="E10" s="203">
        <v>18320695</v>
      </c>
      <c r="F10" s="204">
        <f t="shared" ref="F10:F21" si="0">SUM(C10:E10)</f>
        <v>219620766</v>
      </c>
    </row>
    <row r="11" spans="1:6">
      <c r="A11" s="192">
        <v>3</v>
      </c>
      <c r="B11" s="196">
        <v>42767</v>
      </c>
      <c r="C11" s="203">
        <v>187574563</v>
      </c>
      <c r="D11" s="203">
        <v>10048508</v>
      </c>
      <c r="E11" s="203">
        <v>18320695</v>
      </c>
      <c r="F11" s="204">
        <f t="shared" si="0"/>
        <v>215943766</v>
      </c>
    </row>
    <row r="12" spans="1:6">
      <c r="A12" s="192">
        <v>4</v>
      </c>
      <c r="B12" s="196">
        <v>42795</v>
      </c>
      <c r="C12" s="203">
        <v>184884563</v>
      </c>
      <c r="D12" s="203">
        <v>10048508</v>
      </c>
      <c r="E12" s="203">
        <v>18320695</v>
      </c>
      <c r="F12" s="204">
        <f t="shared" si="0"/>
        <v>213253766</v>
      </c>
    </row>
    <row r="13" spans="1:6">
      <c r="A13" s="192">
        <v>5</v>
      </c>
      <c r="B13" s="196">
        <v>42826</v>
      </c>
      <c r="C13" s="203">
        <v>183144563</v>
      </c>
      <c r="D13" s="203">
        <v>10048508</v>
      </c>
      <c r="E13" s="203">
        <v>18320695</v>
      </c>
      <c r="F13" s="204">
        <f t="shared" si="0"/>
        <v>211513766</v>
      </c>
    </row>
    <row r="14" spans="1:6">
      <c r="A14" s="192">
        <v>6</v>
      </c>
      <c r="B14" s="196">
        <v>42856</v>
      </c>
      <c r="C14" s="203">
        <v>177157563</v>
      </c>
      <c r="D14" s="203">
        <v>10048508</v>
      </c>
      <c r="E14" s="203">
        <v>18320695</v>
      </c>
      <c r="F14" s="204">
        <f t="shared" si="0"/>
        <v>205526766</v>
      </c>
    </row>
    <row r="15" spans="1:6">
      <c r="A15" s="192">
        <v>7</v>
      </c>
      <c r="B15" s="196">
        <v>42887</v>
      </c>
      <c r="C15" s="203">
        <v>170914563</v>
      </c>
      <c r="D15" s="203">
        <v>10048508</v>
      </c>
      <c r="E15" s="203">
        <v>18320695</v>
      </c>
      <c r="F15" s="204">
        <f t="shared" si="0"/>
        <v>199283766</v>
      </c>
    </row>
    <row r="16" spans="1:6">
      <c r="A16" s="192">
        <v>8</v>
      </c>
      <c r="B16" s="196">
        <v>42917</v>
      </c>
      <c r="C16" s="203">
        <v>165214563</v>
      </c>
      <c r="D16" s="203">
        <v>10048508</v>
      </c>
      <c r="E16" s="203">
        <v>18320695</v>
      </c>
      <c r="F16" s="204">
        <f t="shared" si="0"/>
        <v>193583766</v>
      </c>
    </row>
    <row r="17" spans="1:6">
      <c r="A17" s="192">
        <v>9</v>
      </c>
      <c r="B17" s="196">
        <v>42948</v>
      </c>
      <c r="C17" s="203">
        <v>161159563</v>
      </c>
      <c r="D17" s="203">
        <v>10048508</v>
      </c>
      <c r="E17" s="203">
        <v>18320695</v>
      </c>
      <c r="F17" s="204">
        <f t="shared" si="0"/>
        <v>189528766</v>
      </c>
    </row>
    <row r="18" spans="1:6">
      <c r="A18" s="192">
        <v>10</v>
      </c>
      <c r="B18" s="196">
        <v>42979</v>
      </c>
      <c r="C18" s="203">
        <v>157763563</v>
      </c>
      <c r="D18" s="203">
        <v>10048508</v>
      </c>
      <c r="E18" s="203">
        <v>18320695</v>
      </c>
      <c r="F18" s="204">
        <f t="shared" si="0"/>
        <v>186132766</v>
      </c>
    </row>
    <row r="19" spans="1:6">
      <c r="A19" s="192">
        <v>11</v>
      </c>
      <c r="B19" s="196">
        <v>43009</v>
      </c>
      <c r="C19" s="203">
        <v>156402563</v>
      </c>
      <c r="D19" s="203">
        <v>10048508</v>
      </c>
      <c r="E19" s="203">
        <v>18320695</v>
      </c>
      <c r="F19" s="204">
        <f t="shared" si="0"/>
        <v>184771766</v>
      </c>
    </row>
    <row r="20" spans="1:6">
      <c r="A20" s="192">
        <v>12</v>
      </c>
      <c r="B20" s="196">
        <v>43040</v>
      </c>
      <c r="C20" s="203">
        <v>155250563</v>
      </c>
      <c r="D20" s="203">
        <v>10048508</v>
      </c>
      <c r="E20" s="203">
        <v>18320695</v>
      </c>
      <c r="F20" s="204">
        <f t="shared" si="0"/>
        <v>183619766</v>
      </c>
    </row>
    <row r="21" spans="1:6" ht="15.6" thickBot="1">
      <c r="A21" s="192">
        <v>13</v>
      </c>
      <c r="B21" s="196">
        <v>43070</v>
      </c>
      <c r="C21" s="197">
        <v>151866563</v>
      </c>
      <c r="D21" s="197">
        <v>10048508</v>
      </c>
      <c r="E21" s="197">
        <v>18320695</v>
      </c>
      <c r="F21" s="205">
        <f t="shared" si="0"/>
        <v>180235766</v>
      </c>
    </row>
    <row r="22" spans="1:6">
      <c r="A22" s="192">
        <v>14</v>
      </c>
      <c r="B22" s="132"/>
      <c r="C22" s="135"/>
      <c r="D22" s="135"/>
      <c r="E22" s="135"/>
      <c r="F22" s="134"/>
    </row>
    <row r="23" spans="1:6" ht="15.6">
      <c r="A23" s="192">
        <v>15</v>
      </c>
      <c r="B23" s="206" t="s">
        <v>9</v>
      </c>
      <c r="C23" s="203">
        <f>SUM(C9:C22)</f>
        <v>2236974248</v>
      </c>
      <c r="D23" s="203">
        <f t="shared" ref="D23:F23" si="1">SUM(D9:D22)</f>
        <v>128658225</v>
      </c>
      <c r="E23" s="203">
        <f t="shared" si="1"/>
        <v>239927822</v>
      </c>
      <c r="F23" s="204">
        <f t="shared" si="1"/>
        <v>2605560295</v>
      </c>
    </row>
    <row r="24" spans="1:6" ht="15.6">
      <c r="A24" s="192">
        <v>16</v>
      </c>
      <c r="B24" s="206" t="s">
        <v>410</v>
      </c>
      <c r="C24" s="203">
        <f>AVERAGE(C9:C21)</f>
        <v>172074942.15384614</v>
      </c>
      <c r="D24" s="207">
        <f t="shared" ref="D24:F24" si="2">AVERAGE(D9:D21)</f>
        <v>9896786.538461538</v>
      </c>
      <c r="E24" s="203">
        <f t="shared" si="2"/>
        <v>18455986.307692308</v>
      </c>
      <c r="F24" s="204">
        <f t="shared" si="2"/>
        <v>200427715</v>
      </c>
    </row>
    <row r="25" spans="1:6">
      <c r="A25" s="181"/>
      <c r="B25" s="187"/>
      <c r="C25" s="162"/>
      <c r="D25" s="162"/>
      <c r="E25" s="162"/>
      <c r="F25" s="188"/>
    </row>
  </sheetData>
  <mergeCells count="1">
    <mergeCell ref="C7:F7"/>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Nonlevelized-IOU</vt:lpstr>
      <vt:lpstr>Plant Balance</vt:lpstr>
      <vt:lpstr>Plant Balance - ARO</vt:lpstr>
      <vt:lpstr>Accum Depr</vt:lpstr>
      <vt:lpstr>Accum Depr - ARO</vt:lpstr>
      <vt:lpstr>CWIP</vt:lpstr>
      <vt:lpstr>ADIT Projection Summary</vt:lpstr>
      <vt:lpstr>AFUDC on CWIP</vt:lpstr>
      <vt:lpstr>Inv Bal</vt:lpstr>
      <vt:lpstr>Prepay</vt:lpstr>
      <vt:lpstr>O&amp;M</vt:lpstr>
      <vt:lpstr>A&amp;G</vt:lpstr>
      <vt:lpstr>Depreciation</vt:lpstr>
      <vt:lpstr>Other Tax</vt:lpstr>
      <vt:lpstr>Amort Inves Tax Credit</vt:lpstr>
      <vt:lpstr>Acct 561</vt:lpstr>
      <vt:lpstr>Acct 565</vt:lpstr>
      <vt:lpstr>FERC Exp &amp; EPRI</vt:lpstr>
      <vt:lpstr>Labor Ratios</vt:lpstr>
      <vt:lpstr>Pref Stock</vt:lpstr>
      <vt:lpstr>Common Equity</vt:lpstr>
      <vt:lpstr>Acct 216.1</vt:lpstr>
      <vt:lpstr>Cost of Debt</vt:lpstr>
      <vt:lpstr>trans for others</vt:lpstr>
      <vt:lpstr>454 rents</vt:lpstr>
      <vt:lpstr>Divisor</vt:lpstr>
      <vt:lpstr>tax</vt:lpstr>
      <vt:lpstr>footnote k tax</vt:lpstr>
      <vt:lpstr>2015 Attach O True-Up</vt:lpstr>
      <vt:lpstr>short-term interest rate</vt:lpstr>
      <vt:lpstr>'Nonlevelized-IOU'!Print_Area</vt:lpstr>
      <vt:lpstr>tax!Print_Area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Newberry, David L</dc:creator>
  <cp:lastModifiedBy>Douglas, Tina  (PUC)</cp:lastModifiedBy>
  <cp:lastPrinted>2017-02-21T20:57:37Z</cp:lastPrinted>
  <dcterms:created xsi:type="dcterms:W3CDTF">2008-03-20T17:17:47Z</dcterms:created>
  <dcterms:modified xsi:type="dcterms:W3CDTF">2017-03-02T21:11:54Z</dcterms:modified>
</cp:coreProperties>
</file>